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600" windowHeight="9240" tabRatio="845"/>
  </bookViews>
  <sheets>
    <sheet name="Instructions" sheetId="4" r:id="rId1"/>
    <sheet name="RV Load Calc" sheetId="1" r:id="rId2"/>
    <sheet name="Battery Sizing" sheetId="3" r:id="rId3"/>
    <sheet name="Solar array sizing" sheetId="2" r:id="rId4"/>
    <sheet name="Wire Size" sheetId="7" r:id="rId5"/>
    <sheet name="Peukert Formula" sheetId="8" r:id="rId6"/>
    <sheet name="Cost estimate" sheetId="5" r:id="rId7"/>
    <sheet name="Resistor calc" sheetId="9" r:id="rId8"/>
    <sheet name="Temp comp" sheetId="10" r:id="rId9"/>
  </sheets>
  <definedNames>
    <definedName name="_xlnm.Print_Area" localSheetId="2">'Battery Sizing'!$A$1:$D$21</definedName>
    <definedName name="_xlnm.Print_Area" localSheetId="1">'RV Load Calc'!$A$1:$G$45</definedName>
    <definedName name="_xlnm.Print_Area" localSheetId="3">'Solar array sizing'!$A$1:$F$12</definedName>
  </definedNames>
  <calcPr calcId="145621"/>
</workbook>
</file>

<file path=xl/calcChain.xml><?xml version="1.0" encoding="utf-8"?>
<calcChain xmlns="http://schemas.openxmlformats.org/spreadsheetml/2006/main">
  <c r="B38" i="1" l="1"/>
  <c r="M13" i="9" l="1"/>
  <c r="C16" i="3"/>
  <c r="C17" i="3" s="1"/>
  <c r="C18" i="3" s="1"/>
  <c r="C19" i="3" s="1"/>
  <c r="C20" i="3" s="1"/>
  <c r="C21" i="3" s="1"/>
  <c r="E6" i="10"/>
  <c r="F6" i="10"/>
  <c r="F32" i="10"/>
  <c r="E32" i="10"/>
  <c r="C8" i="10"/>
  <c r="C9" i="10" s="1"/>
  <c r="D7" i="10"/>
  <c r="B12" i="9"/>
  <c r="H12" i="9"/>
  <c r="E12" i="9"/>
  <c r="K3" i="7"/>
  <c r="D10" i="5"/>
  <c r="D11" i="5"/>
  <c r="D12" i="5"/>
  <c r="D13" i="5"/>
  <c r="D14" i="5"/>
  <c r="D15" i="5"/>
  <c r="D16" i="5"/>
  <c r="D17" i="5"/>
  <c r="D18" i="5"/>
  <c r="D19" i="5"/>
  <c r="D20" i="5"/>
  <c r="D21" i="5"/>
  <c r="D22" i="5"/>
  <c r="D23" i="5"/>
  <c r="D24" i="5"/>
  <c r="D25" i="5"/>
  <c r="D26" i="5"/>
  <c r="D27" i="5"/>
  <c r="D28" i="5"/>
  <c r="D29" i="5"/>
  <c r="D30" i="5"/>
  <c r="D31" i="5"/>
  <c r="D32" i="5"/>
  <c r="D33" i="5"/>
  <c r="D34" i="5"/>
  <c r="D5" i="5"/>
  <c r="D6" i="5"/>
  <c r="F31" i="1"/>
  <c r="F35" i="1"/>
  <c r="F36" i="1"/>
  <c r="F37" i="1"/>
  <c r="F38" i="1"/>
  <c r="F15" i="1"/>
  <c r="F16" i="1"/>
  <c r="F17" i="1"/>
  <c r="D8" i="5"/>
  <c r="D9" i="5"/>
  <c r="D29" i="8"/>
  <c r="D30" i="8" s="1"/>
  <c r="D31" i="8" s="1"/>
  <c r="D32" i="8" s="1"/>
  <c r="D33" i="8" s="1"/>
  <c r="D34" i="8" s="1"/>
  <c r="H8" i="8"/>
  <c r="H9" i="8"/>
  <c r="H10" i="8"/>
  <c r="H7" i="8"/>
  <c r="D24" i="7"/>
  <c r="E24" i="7" s="1"/>
  <c r="G24" i="7" s="1"/>
  <c r="D19" i="7"/>
  <c r="E19" i="7" s="1"/>
  <c r="G19" i="7" s="1"/>
  <c r="D4" i="5"/>
  <c r="D7" i="7"/>
  <c r="E7" i="7" s="1"/>
  <c r="G7" i="7" s="1"/>
  <c r="D8" i="7"/>
  <c r="E8" i="7" s="1"/>
  <c r="G8" i="7" s="1"/>
  <c r="D9" i="7"/>
  <c r="E9" i="7" s="1"/>
  <c r="G9" i="7" s="1"/>
  <c r="D10" i="7"/>
  <c r="E10" i="7" s="1"/>
  <c r="G10" i="7" s="1"/>
  <c r="D11" i="7"/>
  <c r="E11" i="7" s="1"/>
  <c r="G11" i="7" s="1"/>
  <c r="D12" i="7"/>
  <c r="E12" i="7" s="1"/>
  <c r="G12" i="7" s="1"/>
  <c r="H21" i="8"/>
  <c r="H18" i="8" s="1"/>
  <c r="B21" i="8"/>
  <c r="B20" i="8" s="1"/>
  <c r="D20" i="8" s="1"/>
  <c r="E20" i="8" s="1"/>
  <c r="B9" i="8"/>
  <c r="D9" i="8" s="1"/>
  <c r="E9" i="8" s="1"/>
  <c r="D13" i="7"/>
  <c r="E13" i="7" s="1"/>
  <c r="G13" i="7" s="1"/>
  <c r="D22" i="7"/>
  <c r="E22" i="7" s="1"/>
  <c r="G22" i="7" s="1"/>
  <c r="D23" i="7"/>
  <c r="E23" i="7" s="1"/>
  <c r="G23" i="7" s="1"/>
  <c r="D25" i="7"/>
  <c r="E25" i="7" s="1"/>
  <c r="G25" i="7" s="1"/>
  <c r="D15" i="7"/>
  <c r="D16" i="7"/>
  <c r="E16" i="7" s="1"/>
  <c r="G16" i="7" s="1"/>
  <c r="D17" i="7"/>
  <c r="E17" i="7" s="1"/>
  <c r="G17" i="7" s="1"/>
  <c r="D18" i="7"/>
  <c r="E18" i="7" s="1"/>
  <c r="G18" i="7" s="1"/>
  <c r="D20" i="7"/>
  <c r="E20" i="7" s="1"/>
  <c r="G20" i="7" s="1"/>
  <c r="D21" i="7"/>
  <c r="E21" i="7" s="1"/>
  <c r="G21" i="7" s="1"/>
  <c r="D14" i="7"/>
  <c r="E14" i="7" s="1"/>
  <c r="F43" i="1"/>
  <c r="F42" i="1"/>
  <c r="F41" i="1"/>
  <c r="F40" i="1"/>
  <c r="F39" i="1"/>
  <c r="F34" i="1"/>
  <c r="F33" i="1"/>
  <c r="F32" i="1"/>
  <c r="F30" i="1"/>
  <c r="F29" i="1"/>
  <c r="F28" i="1"/>
  <c r="F27" i="1"/>
  <c r="F26" i="1"/>
  <c r="F25" i="1"/>
  <c r="F5" i="1"/>
  <c r="F6" i="1"/>
  <c r="F7" i="1"/>
  <c r="F8" i="1"/>
  <c r="F9" i="1"/>
  <c r="F10" i="1"/>
  <c r="F11" i="1"/>
  <c r="F12" i="1"/>
  <c r="F13" i="1"/>
  <c r="F14" i="1"/>
  <c r="F18" i="1"/>
  <c r="F4" i="1"/>
  <c r="D7" i="5"/>
  <c r="D3" i="5"/>
  <c r="B13" i="8" l="1"/>
  <c r="D13" i="8" s="1"/>
  <c r="E13" i="8" s="1"/>
  <c r="B17" i="8"/>
  <c r="D17" i="8" s="1"/>
  <c r="E17" i="8" s="1"/>
  <c r="C10" i="10"/>
  <c r="D9" i="10"/>
  <c r="D8" i="10"/>
  <c r="G14" i="7"/>
  <c r="E15" i="7"/>
  <c r="G15" i="7" s="1"/>
  <c r="H12" i="7"/>
  <c r="F12" i="7" s="1"/>
  <c r="H8" i="7"/>
  <c r="F8" i="7" s="1"/>
  <c r="H20" i="7"/>
  <c r="F20" i="7" s="1"/>
  <c r="H14" i="7"/>
  <c r="F14" i="7" s="1"/>
  <c r="H10" i="7"/>
  <c r="F10" i="7" s="1"/>
  <c r="H24" i="7"/>
  <c r="F24" i="7" s="1"/>
  <c r="H18" i="7"/>
  <c r="F18" i="7" s="1"/>
  <c r="H16" i="7"/>
  <c r="F16" i="7" s="1"/>
  <c r="H22" i="7"/>
  <c r="F22" i="7" s="1"/>
  <c r="H7" i="7"/>
  <c r="F7" i="7" s="1"/>
  <c r="H17" i="7"/>
  <c r="F17" i="7" s="1"/>
  <c r="H13" i="7"/>
  <c r="F13" i="7" s="1"/>
  <c r="H11" i="7"/>
  <c r="F11" i="7" s="1"/>
  <c r="H9" i="7"/>
  <c r="F9" i="7" s="1"/>
  <c r="H25" i="7"/>
  <c r="F25" i="7" s="1"/>
  <c r="H23" i="7"/>
  <c r="F23" i="7" s="1"/>
  <c r="H21" i="7"/>
  <c r="F21" i="7" s="1"/>
  <c r="H19" i="7"/>
  <c r="F19" i="7" s="1"/>
  <c r="F44" i="1"/>
  <c r="B11" i="8"/>
  <c r="D11" i="8" s="1"/>
  <c r="E11" i="8" s="1"/>
  <c r="B15" i="8"/>
  <c r="D15" i="8" s="1"/>
  <c r="E15" i="8" s="1"/>
  <c r="B19" i="8"/>
  <c r="D19" i="8" s="1"/>
  <c r="E19" i="8" s="1"/>
  <c r="H19" i="8"/>
  <c r="B10" i="8"/>
  <c r="D10" i="8" s="1"/>
  <c r="E10" i="8" s="1"/>
  <c r="B12" i="8"/>
  <c r="D12" i="8" s="1"/>
  <c r="E12" i="8" s="1"/>
  <c r="B14" i="8"/>
  <c r="D14" i="8" s="1"/>
  <c r="E14" i="8" s="1"/>
  <c r="B16" i="8"/>
  <c r="D16" i="8" s="1"/>
  <c r="E16" i="8" s="1"/>
  <c r="B18" i="8"/>
  <c r="D18" i="8" s="1"/>
  <c r="E18" i="8" s="1"/>
  <c r="H20" i="8"/>
  <c r="F19" i="1"/>
  <c r="D21" i="8"/>
  <c r="E21" i="8" s="1"/>
  <c r="D36" i="5"/>
  <c r="H15" i="7" l="1"/>
  <c r="F15" i="7" s="1"/>
  <c r="C11" i="10"/>
  <c r="D10" i="10"/>
  <c r="F45" i="1"/>
  <c r="B2" i="2" s="1"/>
  <c r="B4" i="3" s="1"/>
  <c r="C12" i="10" l="1"/>
  <c r="D11" i="10"/>
  <c r="B3" i="2"/>
  <c r="B5" i="2" l="1"/>
  <c r="B7" i="2" s="1"/>
  <c r="C13" i="10"/>
  <c r="D12" i="10"/>
  <c r="B6" i="2"/>
  <c r="B6" i="3" l="1"/>
  <c r="B9" i="3" s="1"/>
  <c r="C14" i="10"/>
  <c r="D13" i="10"/>
  <c r="B11" i="3" l="1"/>
  <c r="C15" i="10"/>
  <c r="D14" i="10"/>
  <c r="C16" i="10" l="1"/>
  <c r="D15" i="10"/>
  <c r="C17" i="10" l="1"/>
  <c r="D16" i="10"/>
  <c r="C18" i="10" l="1"/>
  <c r="D17" i="10"/>
  <c r="C19" i="10" l="1"/>
  <c r="D18" i="10"/>
  <c r="C20" i="10" l="1"/>
  <c r="D19" i="10"/>
  <c r="C21" i="10" l="1"/>
  <c r="D20" i="10"/>
  <c r="C22" i="10" l="1"/>
  <c r="D21" i="10"/>
  <c r="C23" i="10" l="1"/>
  <c r="D22" i="10"/>
  <c r="C24" i="10" l="1"/>
  <c r="D23" i="10"/>
  <c r="C25" i="10" l="1"/>
  <c r="D24" i="10"/>
  <c r="C26" i="10" l="1"/>
  <c r="D25" i="10"/>
  <c r="C27" i="10" l="1"/>
  <c r="D26" i="10"/>
  <c r="C28" i="10" l="1"/>
  <c r="D27" i="10"/>
  <c r="C29" i="10" l="1"/>
  <c r="D28" i="10"/>
  <c r="C30" i="10" l="1"/>
  <c r="D29" i="10"/>
  <c r="C31" i="10" l="1"/>
  <c r="D30" i="10"/>
  <c r="C32" i="10" l="1"/>
  <c r="D31" i="10"/>
  <c r="C33" i="10" l="1"/>
  <c r="E31" i="10"/>
  <c r="E30" i="10"/>
  <c r="E29" i="10"/>
  <c r="E28" i="10"/>
  <c r="E27" i="10"/>
  <c r="E26" i="10"/>
  <c r="E25" i="10"/>
  <c r="E24" i="10"/>
  <c r="E23" i="10"/>
  <c r="E22" i="10"/>
  <c r="E21" i="10"/>
  <c r="E20" i="10"/>
  <c r="E19" i="10"/>
  <c r="E18" i="10"/>
  <c r="E17" i="10"/>
  <c r="E16" i="10"/>
  <c r="E15" i="10"/>
  <c r="E14" i="10"/>
  <c r="E13" i="10"/>
  <c r="E12" i="10"/>
  <c r="E11" i="10"/>
  <c r="E10" i="10"/>
  <c r="E9" i="10"/>
  <c r="E8" i="10"/>
  <c r="E7" i="10"/>
  <c r="D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C34" i="10" l="1"/>
  <c r="D33" i="10"/>
  <c r="F33" i="10"/>
  <c r="E33" i="10"/>
  <c r="C35" i="10" l="1"/>
  <c r="D34" i="10"/>
  <c r="E34" i="10"/>
  <c r="F34" i="10"/>
  <c r="C36" i="10" l="1"/>
  <c r="D35" i="10"/>
  <c r="F35" i="10"/>
  <c r="E35" i="10"/>
  <c r="C37" i="10" l="1"/>
  <c r="D36" i="10"/>
  <c r="E36" i="10"/>
  <c r="F36" i="10"/>
  <c r="C38" i="10" l="1"/>
  <c r="D37" i="10"/>
  <c r="F37" i="10"/>
  <c r="E37" i="10"/>
  <c r="C39" i="10" l="1"/>
  <c r="D38" i="10"/>
  <c r="E38" i="10"/>
  <c r="F38" i="10"/>
  <c r="C40" i="10" l="1"/>
  <c r="D39" i="10"/>
  <c r="F39" i="10"/>
  <c r="E39" i="10"/>
  <c r="C41" i="10" l="1"/>
  <c r="D40" i="10"/>
  <c r="E40" i="10"/>
  <c r="F40" i="10"/>
  <c r="C42" i="10" l="1"/>
  <c r="D41" i="10"/>
  <c r="F41" i="10"/>
  <c r="E41" i="10"/>
  <c r="C43" i="10" l="1"/>
  <c r="D42" i="10"/>
  <c r="E42" i="10"/>
  <c r="F42" i="10"/>
  <c r="C44" i="10" l="1"/>
  <c r="D43" i="10"/>
  <c r="F43" i="10"/>
  <c r="E43" i="10"/>
  <c r="C45" i="10" l="1"/>
  <c r="D44" i="10"/>
  <c r="E44" i="10"/>
  <c r="F44" i="10"/>
  <c r="C46" i="10" l="1"/>
  <c r="D45" i="10"/>
  <c r="F45" i="10"/>
  <c r="E45" i="10"/>
  <c r="C47" i="10" l="1"/>
  <c r="D46" i="10"/>
  <c r="E46" i="10"/>
  <c r="F46" i="10"/>
  <c r="C48" i="10" l="1"/>
  <c r="D47" i="10"/>
  <c r="F47" i="10"/>
  <c r="E47" i="10"/>
  <c r="C49" i="10" l="1"/>
  <c r="D48" i="10"/>
  <c r="E48" i="10"/>
  <c r="F48" i="10"/>
  <c r="C50" i="10" l="1"/>
  <c r="D49" i="10"/>
  <c r="F49" i="10"/>
  <c r="E49" i="10"/>
  <c r="C51" i="10" l="1"/>
  <c r="D50" i="10"/>
  <c r="E50" i="10"/>
  <c r="F50" i="10"/>
  <c r="C52" i="10" l="1"/>
  <c r="D51" i="10"/>
  <c r="F51" i="10"/>
  <c r="E51" i="10"/>
  <c r="D52" i="10" l="1"/>
  <c r="E52" i="10"/>
  <c r="F52" i="10"/>
</calcChain>
</file>

<file path=xl/sharedStrings.xml><?xml version="1.0" encoding="utf-8"?>
<sst xmlns="http://schemas.openxmlformats.org/spreadsheetml/2006/main" count="296" uniqueCount="175">
  <si>
    <t>Watts</t>
  </si>
  <si>
    <t>X</t>
  </si>
  <si>
    <t>=</t>
  </si>
  <si>
    <t>Microwave</t>
  </si>
  <si>
    <t>Satellite receiver</t>
  </si>
  <si>
    <t>Computer</t>
  </si>
  <si>
    <t>Step 1 Calculate your AC loads. If there are no AC loads, skip to Step 2.</t>
  </si>
  <si>
    <t>Load Calculation Worksheet</t>
  </si>
  <si>
    <t>Hrs/Day</t>
  </si>
  <si>
    <t>V</t>
  </si>
  <si>
    <t>Step 2 Calculate your DC loads.</t>
  </si>
  <si>
    <t>Furnace</t>
  </si>
  <si>
    <t>Water pump</t>
  </si>
  <si>
    <t>Inverter idle current</t>
  </si>
  <si>
    <r>
      <t xml:space="preserve"> </t>
    </r>
    <r>
      <rPr>
        <b/>
        <sz val="10"/>
        <color rgb="FFCC0000"/>
        <rFont val="Verdana"/>
        <family val="2"/>
      </rPr>
      <t>Watts</t>
    </r>
    <r>
      <rPr>
        <b/>
        <sz val="10"/>
        <color theme="1"/>
        <rFont val="Verdana"/>
        <family val="2"/>
      </rPr>
      <t xml:space="preserve"> = Volts times Amps</t>
    </r>
  </si>
  <si>
    <t>Notes:</t>
  </si>
  <si>
    <t>Solar Panel Array Sizing</t>
  </si>
  <si>
    <t>Total Ah/Day</t>
  </si>
  <si>
    <t>80°F/26.7°C</t>
  </si>
  <si>
    <t>70°F/21.2°C</t>
  </si>
  <si>
    <t>60°F/15.6°C</t>
  </si>
  <si>
    <t>50°F/10.0°C</t>
  </si>
  <si>
    <t>40°F/4.4°C</t>
  </si>
  <si>
    <t>30°F/-1.1°C</t>
  </si>
  <si>
    <t>20°F/-6.7°C</t>
  </si>
  <si>
    <t>5. If you are using a lead-acid battery, select the multiplier below which corresponds to the battery's  average ambient temperature:</t>
  </si>
  <si>
    <t>Battery Bank Sizing</t>
  </si>
  <si>
    <t>Ohm/1000'</t>
  </si>
  <si>
    <t>00</t>
  </si>
  <si>
    <t>0000</t>
  </si>
  <si>
    <t xml:space="preserve">If long wire runs are necessary  it may be advisable to install the panels in series to raise the voltage.  Then use a MPPT type charge controller. </t>
  </si>
  <si>
    <t>Voltage drop</t>
  </si>
  <si>
    <t>Wasted Watts</t>
  </si>
  <si>
    <t>Wire Resistance</t>
  </si>
  <si>
    <t>Wire Sizing chart</t>
  </si>
  <si>
    <t>Ah</t>
  </si>
  <si>
    <t>hr/day</t>
  </si>
  <si>
    <t>Wh</t>
  </si>
  <si>
    <t>A</t>
  </si>
  <si>
    <t>AM/FM radio</t>
  </si>
  <si>
    <t>Blow Dryer</t>
  </si>
  <si>
    <t>DC Ah/Day</t>
  </si>
  <si>
    <t>Toaster</t>
  </si>
  <si>
    <t>3. Average sun hours per day in your area of interest.</t>
  </si>
  <si>
    <t>Qty</t>
  </si>
  <si>
    <t>Item</t>
  </si>
  <si>
    <t>Extended cost</t>
  </si>
  <si>
    <t>Junction box on roof</t>
  </si>
  <si>
    <t>Outback FM60 charge controller</t>
  </si>
  <si>
    <t>FM60 remote display</t>
  </si>
  <si>
    <t>Total</t>
  </si>
  <si>
    <t>sets of mounting hardware</t>
  </si>
  <si>
    <t>2/0 split bolts</t>
  </si>
  <si>
    <t>#8 wire</t>
  </si>
  <si>
    <t>Ah/Day</t>
  </si>
  <si>
    <t>Description of AC Loads Run by an inverter</t>
  </si>
  <si>
    <t xml:space="preserve">List all DC loads in the spaces below. </t>
  </si>
  <si>
    <t>Inverter efficency  ----&gt;&gt;</t>
  </si>
  <si>
    <t>Inverter DC input voltage;  This is the DC system voltage.---&gt;</t>
  </si>
  <si>
    <r>
      <t xml:space="preserve">1. Total  amp hours per day from the </t>
    </r>
    <r>
      <rPr>
        <b/>
        <sz val="12"/>
        <color theme="1"/>
        <rFont val="Arial"/>
        <family val="2"/>
      </rPr>
      <t>Load Calc</t>
    </r>
    <r>
      <rPr>
        <sz val="12"/>
        <color theme="1"/>
        <rFont val="Arial"/>
        <family val="2"/>
      </rPr>
      <t xml:space="preserve"> Worksheet</t>
    </r>
  </si>
  <si>
    <t>Peukert Formula - Battery Run Time  to Depletion</t>
  </si>
  <si>
    <t>Peukert's Exponent</t>
  </si>
  <si>
    <t xml:space="preserve"> </t>
  </si>
  <si>
    <t>Batt Bank Capacity Ah</t>
  </si>
  <si>
    <t>Total Amp</t>
  </si>
  <si>
    <t>Hours</t>
  </si>
  <si>
    <t>Time in hours</t>
  </si>
  <si>
    <t>Available</t>
  </si>
  <si>
    <t>Discharge Rate in Amps</t>
  </si>
  <si>
    <t xml:space="preserve">Enter a specific </t>
  </si>
  <si>
    <t>discharge rate</t>
  </si>
  <si>
    <t>hr</t>
  </si>
  <si>
    <t>DOD</t>
  </si>
  <si>
    <t>Depth of Discharge</t>
  </si>
  <si>
    <t>Xantrex Linklite battery monitor w/ shunt</t>
  </si>
  <si>
    <t>300 amp Battery fuse block /w fuse</t>
  </si>
  <si>
    <t>2/0 x 3/8" copper lugs</t>
  </si>
  <si>
    <t>15 amp 125 volt Fuse block @ PV panels</t>
  </si>
  <si>
    <t>15 amp fuse</t>
  </si>
  <si>
    <t>2. Maximum number of days with no recharge.</t>
  </si>
  <si>
    <t>Amps</t>
  </si>
  <si>
    <t>000</t>
  </si>
  <si>
    <t>Adjusted charging voltage</t>
  </si>
  <si>
    <t>Battery Capacity Multiplier Table</t>
  </si>
  <si>
    <t>Note: charging voltages above 15 volts may damage some electronic equipment.</t>
  </si>
  <si>
    <t>Ah used</t>
  </si>
  <si>
    <t>Battery Life</t>
  </si>
  <si>
    <t>Notes</t>
  </si>
  <si>
    <t>Trojan specs their battery recharge efficency at 89%.</t>
  </si>
  <si>
    <t>Kyocera KD135GX</t>
  </si>
  <si>
    <t>#6 wire</t>
  </si>
  <si>
    <t>#4 wire</t>
  </si>
  <si>
    <t>2/0 welding cable</t>
  </si>
  <si>
    <t>2/0 x 5/6" copper lugs</t>
  </si>
  <si>
    <t>Trojan T1275 batteries 12V  (150Ah each)</t>
  </si>
  <si>
    <t>Ah @ 80% DOD</t>
  </si>
  <si>
    <t>Ah @ 50% DOD</t>
  </si>
  <si>
    <t>2. Multiply line 1 by 1.25 to compensate for loss from battery charge/discharge.</t>
  </si>
  <si>
    <t>RTS   Remote temp sensor</t>
  </si>
  <si>
    <t>IOTA 90amp w/IQ4</t>
  </si>
  <si>
    <t>Fan</t>
  </si>
  <si>
    <r>
      <t xml:space="preserve">A wire sizing section is included to make it easier to pick the proper size wire to use.  Pay close attention to the </t>
    </r>
    <r>
      <rPr>
        <b/>
        <sz val="14"/>
        <color theme="1"/>
        <rFont val="Times New Roman"/>
        <family val="1"/>
      </rPr>
      <t>Wasted Watts</t>
    </r>
    <r>
      <rPr>
        <sz val="14"/>
        <color theme="1"/>
        <rFont val="Times New Roman"/>
        <family val="1"/>
      </rPr>
      <t xml:space="preserve">  and </t>
    </r>
    <r>
      <rPr>
        <b/>
        <sz val="14"/>
        <color theme="1"/>
        <rFont val="Times New Roman"/>
        <family val="1"/>
      </rPr>
      <t>voltage drop</t>
    </r>
    <r>
      <rPr>
        <sz val="14"/>
        <color theme="1"/>
        <rFont val="Times New Roman"/>
        <family val="1"/>
      </rPr>
      <t xml:space="preserve"> columns.  Wasted watts is power that the solar panel is generating but never gets to the batteries because it is wasted in heating the wires.  Bigger wire = less resistance = less heat = less wasted power.</t>
    </r>
  </si>
  <si>
    <t>TV and antenna amplifier</t>
  </si>
  <si>
    <t>Bath area Lights all LED</t>
  </si>
  <si>
    <t>3. This is the Ah  used + the extra amps needed to compensate for conversion losses.</t>
  </si>
  <si>
    <t xml:space="preserve">             An MPPT controller will typically have a conversion efficency of 90% to 96%</t>
  </si>
  <si>
    <t>This is your suggested battery size in amp-hours if using 80% of the capacity ==&gt;</t>
  </si>
  <si>
    <t>Electric Skillet</t>
  </si>
  <si>
    <t>2 LED reading lights</t>
  </si>
  <si>
    <t>.</t>
  </si>
  <si>
    <r>
      <t xml:space="preserve">To use this spreadsheet enter your data in the </t>
    </r>
    <r>
      <rPr>
        <b/>
        <i/>
        <sz val="14"/>
        <color rgb="FFFF0000"/>
        <rFont val="Times New Roman"/>
        <family val="1"/>
      </rPr>
      <t>shaded cells</t>
    </r>
    <r>
      <rPr>
        <sz val="14"/>
        <color theme="1"/>
        <rFont val="Times New Roman"/>
        <family val="1"/>
      </rPr>
      <t xml:space="preserve">. All calculations are done automatically.
This Excel workbook was developed by Gale Scholten (N8GS) using data collected for many different sources.  I've tried to cover a lot of ground with this project but as with all such projects it is possible that an error may have crept into the data.  Please confirm the results obtained before spending your hard earned money.
Much of the example data included in this spreadsheet was obtained by testing the various items on my 30 ft. 5th wheel.  I hope this will provide you with a solid starting point as you calculate your power needs.  
Note that electrical name plates list the MAX power used NOT the average power.                 </t>
    </r>
  </si>
  <si>
    <t>1. Total amp hours per day needed to recharge the battery bank. (See solar array sizing page)</t>
  </si>
  <si>
    <t>3 LED Light fixtures</t>
  </si>
  <si>
    <t>Lights w/ 921 bulb (18w/bulb) (dining table)</t>
  </si>
  <si>
    <t xml:space="preserve">Phantom loads (control circuits, LP detector , refrig) </t>
  </si>
  <si>
    <t>Amp Hour Time Rating</t>
  </si>
  <si>
    <t>Water Heater</t>
  </si>
  <si>
    <t>MC4 extension cable - 6 feet</t>
  </si>
  <si>
    <t>LED panels to replace 921 bulbs</t>
  </si>
  <si>
    <t>50 amp Buss CB</t>
  </si>
  <si>
    <t>Kyocera KD235</t>
  </si>
  <si>
    <t>HP photo printer</t>
  </si>
  <si>
    <t>Output Voltage</t>
  </si>
  <si>
    <r>
      <t xml:space="preserve">Length of wire in feet </t>
    </r>
    <r>
      <rPr>
        <sz val="10"/>
        <color theme="1"/>
        <rFont val="Arial"/>
        <family val="2"/>
      </rPr>
      <t>(both + and - conductors)</t>
    </r>
  </si>
  <si>
    <t>#10 wire</t>
  </si>
  <si>
    <t>1/0 welding cable</t>
  </si>
  <si>
    <t>#2 wire</t>
  </si>
  <si>
    <t>#1 wire</t>
  </si>
  <si>
    <t>Estimated Unit price</t>
  </si>
  <si>
    <t>Percent Voltage Drop</t>
  </si>
  <si>
    <t>Input Voltage</t>
  </si>
  <si>
    <t>AC Ah/Day including inverter losses</t>
  </si>
  <si>
    <t>Total amp hours per day used by DC loads.</t>
  </si>
  <si>
    <r>
      <t xml:space="preserve">Total amp hours per day used by </t>
    </r>
    <r>
      <rPr>
        <b/>
        <sz val="10"/>
        <color rgb="FF000000"/>
        <rFont val="Verdana"/>
        <family val="2"/>
      </rPr>
      <t>all</t>
    </r>
    <r>
      <rPr>
        <sz val="10"/>
        <color rgb="FF000000"/>
        <rFont val="Verdana"/>
        <family val="2"/>
      </rPr>
      <t xml:space="preserve"> loads.</t>
    </r>
  </si>
  <si>
    <t>Note: Charging voltages above 15.4 volts may damage some electronic equipment.</t>
  </si>
  <si>
    <t>Bath Vent fan</t>
  </si>
  <si>
    <t>Temperature adjusted charging voltage</t>
  </si>
  <si>
    <t>Wire Size AWG</t>
  </si>
  <si>
    <t>Wire Dia. (inches)</t>
  </si>
  <si>
    <t>watts</t>
  </si>
  <si>
    <t>R result =</t>
  </si>
  <si>
    <t>R1</t>
  </si>
  <si>
    <t>R2</t>
  </si>
  <si>
    <t>R3</t>
  </si>
  <si>
    <t>R4</t>
  </si>
  <si>
    <t>Result =</t>
  </si>
  <si>
    <t>Temperature compensation chart by Mark Siminoff  -  siminoff@gmail.com</t>
  </si>
  <si>
    <t>What's the temp' compensation coefficient?</t>
  </si>
  <si>
    <t xml:space="preserve"> ºC</t>
  </si>
  <si>
    <t>ºF</t>
  </si>
  <si>
    <t>32 gal Blue Boy</t>
  </si>
  <si>
    <t>Macerator pump</t>
  </si>
  <si>
    <t>#12 2 conductor cord</t>
  </si>
  <si>
    <t>What is absorption voltage setting #?</t>
  </si>
  <si>
    <t>What is the float voltage setting ?</t>
  </si>
  <si>
    <t>#6 x 5/16 copper lugs</t>
  </si>
  <si>
    <t>Parallel resistor Calc.</t>
  </si>
  <si>
    <t>Supply Voltage</t>
  </si>
  <si>
    <t>Rx</t>
  </si>
  <si>
    <t xml:space="preserve">Wheatstone Bridge </t>
  </si>
  <si>
    <r>
      <t>V/</t>
    </r>
    <r>
      <rPr>
        <sz val="12"/>
        <color theme="1"/>
        <rFont val="Times New Roman"/>
        <family val="1"/>
      </rPr>
      <t>°C</t>
    </r>
  </si>
  <si>
    <t>Voltage inbalance=</t>
  </si>
  <si>
    <t>Watts/hr. needed to replace 1 days useage assuming 85% efficency</t>
  </si>
  <si>
    <t>Size the wire between the solar panels and the charge controller to provide a voltage drop of less than 2%.  Use the copper wire table to help with this calculation and don't forget that the wire needed is twice the distance from the solar panels to the charge controller.</t>
  </si>
  <si>
    <r>
      <t xml:space="preserve">System upgrade cost estimator </t>
    </r>
    <r>
      <rPr>
        <b/>
        <sz val="12"/>
        <color theme="1"/>
        <rFont val="Arial"/>
        <family val="2"/>
      </rPr>
      <t>(2011 prices)</t>
    </r>
  </si>
  <si>
    <t>Refrigerator  (what is your duty cycle?)</t>
  </si>
  <si>
    <t xml:space="preserve">              Trojan specs their batteries as having a recharge efficency of 89%</t>
  </si>
  <si>
    <r>
      <t xml:space="preserve">4. </t>
    </r>
    <r>
      <rPr>
        <sz val="12"/>
        <color theme="9" tint="-0.249977111117893"/>
        <rFont val="Arial"/>
        <family val="2"/>
      </rPr>
      <t>This is the average Ah rate required for daily recharge.</t>
    </r>
  </si>
  <si>
    <t>5. Watt hours needed to recharge the battery bank.</t>
  </si>
  <si>
    <t>Watts of tilted panels</t>
  </si>
  <si>
    <t>For recovery from a cloudy period double the panel wattage.</t>
  </si>
  <si>
    <t>Double the panel size if used flat in the winter</t>
  </si>
  <si>
    <t>If you do not intend to discharge below 50% this is your minimum battery  size =====&gt;</t>
  </si>
  <si>
    <t xml:space="preserve">HF radio </t>
  </si>
  <si>
    <t>Panels wired in series provide higher working voltage (like batteries in series) which will allow the use of smaller wire BUT it will require the use of a MPPT style charge controller.  You will need to decide for yourself which way best meets your present and future system requirements. If 3 - 12 volt panels with a Max power point voltage of 17 volts are to be installed in series then the input voltage to the charge controller will be 51 volts.  Also check to insure that the open circuit voltage of the panels will not exceed the charge controllers maximum input voltage. 
Be sure to measure the space you have available for your PV panels.  Will they fit and will there be a problem with nearby items casting shadows onto the panels?  Could the TV antenna or A/C unit be a problem?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</si>
</sst>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
    <numFmt numFmtId="166" formatCode="&quot;$&quot;#,##0.00"/>
    <numFmt numFmtId="167" formatCode="0.000"/>
    <numFmt numFmtId="168" formatCode="0.00000"/>
    <numFmt numFmtId="169" formatCode="0.0%"/>
  </numFmts>
  <fonts count="51" x14ac:knownFonts="1">
    <font>
      <sz val="11"/>
      <color theme="1"/>
      <name val="Calibri"/>
      <family val="2"/>
      <scheme val="minor"/>
    </font>
    <font>
      <b/>
      <sz val="11"/>
      <color theme="1"/>
      <name val="Calibri"/>
      <family val="2"/>
      <scheme val="minor"/>
    </font>
    <font>
      <b/>
      <sz val="10"/>
      <color theme="1"/>
      <name val="Verdana"/>
      <family val="2"/>
    </font>
    <font>
      <b/>
      <sz val="10"/>
      <color rgb="FFCC0000"/>
      <name val="Verdana"/>
      <family val="2"/>
    </font>
    <font>
      <sz val="10"/>
      <color theme="1"/>
      <name val="Verdana"/>
      <family val="2"/>
    </font>
    <font>
      <b/>
      <sz val="11"/>
      <color theme="1"/>
      <name val="Verdana"/>
      <family val="2"/>
    </font>
    <font>
      <b/>
      <sz val="14"/>
      <color theme="1"/>
      <name val="Calibri"/>
      <family val="2"/>
      <scheme val="minor"/>
    </font>
    <font>
      <b/>
      <sz val="16"/>
      <color theme="1"/>
      <name val="Calibri"/>
      <family val="2"/>
      <scheme val="minor"/>
    </font>
    <font>
      <b/>
      <sz val="12"/>
      <color theme="1"/>
      <name val="Calibri"/>
      <family val="2"/>
      <scheme val="minor"/>
    </font>
    <font>
      <b/>
      <i/>
      <sz val="11"/>
      <color theme="1"/>
      <name val="Calibri"/>
      <family val="2"/>
      <scheme val="minor"/>
    </font>
    <font>
      <sz val="10"/>
      <color rgb="FF000000"/>
      <name val="Verdana"/>
      <family val="2"/>
    </font>
    <font>
      <b/>
      <i/>
      <sz val="14"/>
      <color theme="1"/>
      <name val="Calibri"/>
      <family val="2"/>
      <scheme val="minor"/>
    </font>
    <font>
      <sz val="11"/>
      <name val="Calibri"/>
      <family val="2"/>
      <scheme val="minor"/>
    </font>
    <font>
      <b/>
      <sz val="14"/>
      <name val="Calibri"/>
      <family val="2"/>
      <scheme val="minor"/>
    </font>
    <font>
      <sz val="14"/>
      <color theme="1"/>
      <name val="Times New Roman"/>
      <family val="1"/>
    </font>
    <font>
      <b/>
      <sz val="14"/>
      <color theme="1"/>
      <name val="Times New Roman"/>
      <family val="1"/>
    </font>
    <font>
      <sz val="12"/>
      <color theme="1"/>
      <name val="Arial"/>
      <family val="2"/>
    </font>
    <font>
      <b/>
      <sz val="12"/>
      <color theme="1"/>
      <name val="Arial"/>
      <family val="2"/>
    </font>
    <font>
      <b/>
      <sz val="12"/>
      <name val="Arial"/>
      <family val="2"/>
    </font>
    <font>
      <sz val="12"/>
      <color rgb="FFFF0000"/>
      <name val="Arial"/>
      <family val="2"/>
    </font>
    <font>
      <b/>
      <sz val="14"/>
      <color theme="1"/>
      <name val="Arial"/>
      <family val="2"/>
    </font>
    <font>
      <b/>
      <sz val="11"/>
      <name val="Calibri"/>
      <family val="2"/>
      <scheme val="minor"/>
    </font>
    <font>
      <b/>
      <i/>
      <sz val="14"/>
      <color rgb="FFFF0000"/>
      <name val="Times New Roman"/>
      <family val="1"/>
    </font>
    <font>
      <sz val="11"/>
      <color theme="1"/>
      <name val="Arial Black"/>
      <family val="2"/>
    </font>
    <font>
      <sz val="11"/>
      <color theme="1"/>
      <name val="Arial"/>
      <family val="2"/>
    </font>
    <font>
      <sz val="11"/>
      <name val="Arial"/>
      <family val="2"/>
    </font>
    <font>
      <sz val="10"/>
      <color theme="1"/>
      <name val="Arial"/>
      <family val="2"/>
    </font>
    <font>
      <b/>
      <sz val="14"/>
      <name val="Arial"/>
      <family val="2"/>
    </font>
    <font>
      <b/>
      <sz val="10"/>
      <name val="Arial"/>
      <family val="2"/>
    </font>
    <font>
      <b/>
      <sz val="16"/>
      <color theme="1"/>
      <name val="Arial"/>
      <family val="2"/>
    </font>
    <font>
      <sz val="14"/>
      <color theme="1"/>
      <name val="Calibri"/>
      <family val="2"/>
      <scheme val="minor"/>
    </font>
    <font>
      <b/>
      <sz val="12"/>
      <color theme="1"/>
      <name val="Verdana"/>
      <family val="2"/>
    </font>
    <font>
      <sz val="12"/>
      <color theme="9" tint="-0.249977111117893"/>
      <name val="Arial"/>
      <family val="2"/>
    </font>
    <font>
      <b/>
      <sz val="12"/>
      <color rgb="FF92D050"/>
      <name val="Arial"/>
      <family val="2"/>
    </font>
    <font>
      <b/>
      <sz val="12"/>
      <color rgb="FFFF0000"/>
      <name val="Arial"/>
      <family val="2"/>
    </font>
    <font>
      <sz val="12"/>
      <color rgb="FF002060"/>
      <name val="Calibri"/>
      <family val="2"/>
      <scheme val="minor"/>
    </font>
    <font>
      <sz val="10"/>
      <name val="Arial"/>
      <family val="2"/>
    </font>
    <font>
      <b/>
      <sz val="12"/>
      <color rgb="FF00B050"/>
      <name val="Arial"/>
      <family val="2"/>
    </font>
    <font>
      <b/>
      <sz val="12"/>
      <color rgb="FF002060"/>
      <name val="Arial"/>
      <family val="2"/>
    </font>
    <font>
      <b/>
      <sz val="10"/>
      <color rgb="FF000000"/>
      <name val="Verdana"/>
      <family val="2"/>
    </font>
    <font>
      <sz val="16"/>
      <color theme="1"/>
      <name val="Calibri"/>
      <scheme val="minor"/>
    </font>
    <font>
      <sz val="12"/>
      <color theme="1"/>
      <name val="Arial"/>
    </font>
    <font>
      <b/>
      <sz val="8"/>
      <color indexed="9"/>
      <name val="Arial"/>
    </font>
    <font>
      <b/>
      <sz val="9"/>
      <name val="Arial"/>
    </font>
    <font>
      <sz val="7"/>
      <name val="Arial"/>
    </font>
    <font>
      <sz val="12"/>
      <name val="Arial"/>
    </font>
    <font>
      <sz val="12"/>
      <color indexed="9"/>
      <name val="Arial"/>
    </font>
    <font>
      <sz val="12"/>
      <color theme="1"/>
      <name val="Times New Roman"/>
      <family val="1"/>
    </font>
    <font>
      <sz val="11"/>
      <color rgb="FF006100"/>
      <name val="Calibri"/>
      <family val="2"/>
      <scheme val="minor"/>
    </font>
    <font>
      <b/>
      <sz val="14"/>
      <color rgb="FFC00000"/>
      <name val="Calibri"/>
      <family val="2"/>
      <scheme val="minor"/>
    </font>
    <font>
      <b/>
      <sz val="12"/>
      <color rgb="FFC0000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indexed="9"/>
        <bgColor indexed="26"/>
      </patternFill>
    </fill>
    <fill>
      <patternFill patternType="solid">
        <fgColor indexed="45"/>
        <bgColor indexed="29"/>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6EFCE"/>
      </patternFill>
    </fill>
    <fill>
      <patternFill patternType="solid">
        <fgColor theme="4" tint="0.79998168889431442"/>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9"/>
      </left>
      <right style="thin">
        <color indexed="9"/>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9"/>
      </left>
      <right style="thin">
        <color indexed="9"/>
      </right>
      <top style="thin">
        <color indexed="9"/>
      </top>
      <bottom style="thin">
        <color indexed="9"/>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31"/>
      </left>
      <right style="thin">
        <color indexed="31"/>
      </right>
      <top style="thin">
        <color indexed="3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top style="medium">
        <color indexed="64"/>
      </top>
      <bottom style="thin">
        <color indexed="9"/>
      </bottom>
      <diagonal/>
    </border>
    <border>
      <left style="medium">
        <color indexed="64"/>
      </left>
      <right/>
      <top style="thin">
        <color indexed="9"/>
      </top>
      <bottom style="thin">
        <color indexed="9"/>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9"/>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48" fillId="11" borderId="0" applyNumberFormat="0" applyBorder="0" applyAlignment="0" applyProtection="0"/>
  </cellStyleXfs>
  <cellXfs count="271">
    <xf numFmtId="0" fontId="0" fillId="0" borderId="0" xfId="0"/>
    <xf numFmtId="0" fontId="2" fillId="0" borderId="0" xfId="0" applyFont="1" applyAlignment="1"/>
    <xf numFmtId="0" fontId="4" fillId="0" borderId="0" xfId="0" applyFont="1" applyAlignment="1">
      <alignment horizontal="center" wrapText="1"/>
    </xf>
    <xf numFmtId="0" fontId="2" fillId="0" borderId="0" xfId="0" applyFont="1" applyAlignment="1">
      <alignment horizontal="center" wrapText="1"/>
    </xf>
    <xf numFmtId="0" fontId="4" fillId="0" borderId="0" xfId="0" applyFont="1" applyAlignment="1">
      <alignment wrapText="1"/>
    </xf>
    <xf numFmtId="0" fontId="4" fillId="0" borderId="0" xfId="0" applyFont="1"/>
    <xf numFmtId="0" fontId="7" fillId="0" borderId="0" xfId="0" applyFont="1" applyAlignment="1">
      <alignment horizontal="center"/>
    </xf>
    <xf numFmtId="0" fontId="8" fillId="0" borderId="0" xfId="0" applyFont="1"/>
    <xf numFmtId="0" fontId="9" fillId="0" borderId="0" xfId="0" applyFont="1" applyAlignment="1">
      <alignment horizontal="right"/>
    </xf>
    <xf numFmtId="0" fontId="5" fillId="0" borderId="0" xfId="0" applyFont="1" applyAlignment="1"/>
    <xf numFmtId="0" fontId="10" fillId="0" borderId="0" xfId="0" applyFont="1" applyBorder="1" applyAlignment="1">
      <alignment vertical="top" wrapText="1"/>
    </xf>
    <xf numFmtId="164" fontId="0" fillId="0" borderId="0" xfId="0" applyNumberFormat="1"/>
    <xf numFmtId="0" fontId="11" fillId="0" borderId="0" xfId="0" applyFont="1" applyAlignment="1">
      <alignment horizontal="right"/>
    </xf>
    <xf numFmtId="0" fontId="10" fillId="0" borderId="0" xfId="0" applyFont="1" applyFill="1" applyBorder="1" applyAlignment="1">
      <alignment wrapText="1"/>
    </xf>
    <xf numFmtId="0" fontId="5" fillId="0" borderId="0" xfId="0" applyFont="1" applyAlignment="1">
      <alignment horizontal="left"/>
    </xf>
    <xf numFmtId="0" fontId="0" fillId="0" borderId="0" xfId="0" applyAlignment="1"/>
    <xf numFmtId="0" fontId="2" fillId="0" borderId="0" xfId="0" applyFont="1" applyAlignment="1">
      <alignment wrapText="1"/>
    </xf>
    <xf numFmtId="1" fontId="0" fillId="0" borderId="0" xfId="0" applyNumberFormat="1"/>
    <xf numFmtId="0" fontId="0" fillId="0" borderId="0" xfId="0" applyAlignment="1">
      <alignment wrapText="1"/>
    </xf>
    <xf numFmtId="0" fontId="2" fillId="0" borderId="0" xfId="0" applyFont="1" applyAlignment="1">
      <alignment vertical="top" wrapText="1"/>
    </xf>
    <xf numFmtId="0" fontId="4" fillId="0" borderId="0" xfId="0" applyFont="1" applyAlignment="1">
      <alignment horizontal="right" wrapText="1"/>
    </xf>
    <xf numFmtId="0" fontId="14" fillId="0" borderId="0" xfId="0" applyFont="1" applyAlignment="1">
      <alignment wrapText="1"/>
    </xf>
    <xf numFmtId="0" fontId="12" fillId="2" borderId="0" xfId="0" applyFont="1" applyFill="1" applyProtection="1">
      <protection locked="0"/>
    </xf>
    <xf numFmtId="0" fontId="0" fillId="2" borderId="0" xfId="0" applyFill="1" applyProtection="1">
      <protection locked="0"/>
    </xf>
    <xf numFmtId="9" fontId="0" fillId="2" borderId="0" xfId="0" applyNumberFormat="1" applyFill="1" applyProtection="1">
      <protection locked="0"/>
    </xf>
    <xf numFmtId="0" fontId="14" fillId="0" borderId="0" xfId="0" applyFont="1" applyAlignment="1">
      <alignment vertical="center" wrapText="1"/>
    </xf>
    <xf numFmtId="0" fontId="16" fillId="0" borderId="0" xfId="0" applyFont="1" applyAlignment="1">
      <alignment wrapText="1"/>
    </xf>
    <xf numFmtId="0" fontId="16" fillId="0" borderId="0" xfId="0" applyFont="1"/>
    <xf numFmtId="0" fontId="17" fillId="0" borderId="0" xfId="0" applyFont="1" applyAlignment="1">
      <alignment wrapText="1"/>
    </xf>
    <xf numFmtId="0" fontId="16" fillId="0" borderId="0" xfId="0" applyFont="1" applyBorder="1"/>
    <xf numFmtId="0" fontId="16" fillId="0" borderId="0" xfId="0" applyFont="1" applyBorder="1" applyAlignment="1"/>
    <xf numFmtId="0" fontId="20" fillId="0" borderId="0" xfId="0" applyFont="1" applyAlignment="1">
      <alignment horizontal="center"/>
    </xf>
    <xf numFmtId="0" fontId="23" fillId="0" borderId="0" xfId="0" applyFont="1"/>
    <xf numFmtId="166" fontId="23" fillId="0" borderId="0" xfId="0" applyNumberFormat="1" applyFont="1"/>
    <xf numFmtId="0" fontId="24" fillId="0" borderId="0" xfId="0" applyFont="1"/>
    <xf numFmtId="166" fontId="24" fillId="0" borderId="0" xfId="0" applyNumberFormat="1" applyFont="1"/>
    <xf numFmtId="0" fontId="25" fillId="0" borderId="0" xfId="0" applyFont="1"/>
    <xf numFmtId="166" fontId="25" fillId="0" borderId="0" xfId="0" applyNumberFormat="1" applyFont="1"/>
    <xf numFmtId="0" fontId="25" fillId="0" borderId="0" xfId="0" applyFont="1" applyAlignment="1">
      <alignment horizontal="left"/>
    </xf>
    <xf numFmtId="0" fontId="26" fillId="0" borderId="0" xfId="0" applyFont="1"/>
    <xf numFmtId="0" fontId="25" fillId="0" borderId="0" xfId="0" applyFont="1" applyAlignment="1">
      <alignment horizontal="left" vertical="center" wrapText="1"/>
    </xf>
    <xf numFmtId="0" fontId="27" fillId="0" borderId="0" xfId="0" applyFont="1" applyFill="1" applyBorder="1" applyProtection="1">
      <protection hidden="1"/>
    </xf>
    <xf numFmtId="0" fontId="0" fillId="0" borderId="0" xfId="0" applyProtection="1">
      <protection hidden="1"/>
    </xf>
    <xf numFmtId="0" fontId="28" fillId="0" borderId="0" xfId="0" applyFont="1" applyFill="1" applyBorder="1" applyProtection="1">
      <protection hidden="1"/>
    </xf>
    <xf numFmtId="0" fontId="0" fillId="0" borderId="0" xfId="0" applyFill="1" applyBorder="1" applyProtection="1">
      <protection hidden="1"/>
    </xf>
    <xf numFmtId="0" fontId="28" fillId="4" borderId="0" xfId="0" applyFont="1" applyFill="1" applyBorder="1" applyProtection="1">
      <protection hidden="1"/>
    </xf>
    <xf numFmtId="0" fontId="28" fillId="4" borderId="4" xfId="0" applyFont="1" applyFill="1" applyBorder="1" applyProtection="1">
      <protection hidden="1"/>
    </xf>
    <xf numFmtId="2" fontId="0" fillId="0" borderId="0" xfId="0" applyNumberFormat="1" applyFont="1" applyProtection="1">
      <protection hidden="1"/>
    </xf>
    <xf numFmtId="0" fontId="0" fillId="0" borderId="9" xfId="0" applyBorder="1"/>
    <xf numFmtId="0" fontId="1" fillId="4" borderId="12" xfId="0" applyFont="1" applyFill="1" applyBorder="1" applyProtection="1">
      <protection hidden="1"/>
    </xf>
    <xf numFmtId="0" fontId="0" fillId="0" borderId="0" xfId="0" applyAlignment="1">
      <alignment horizontal="center"/>
    </xf>
    <xf numFmtId="0" fontId="17" fillId="0" borderId="0" xfId="0" applyFont="1" applyBorder="1" applyAlignment="1">
      <alignment horizontal="center"/>
    </xf>
    <xf numFmtId="0" fontId="17" fillId="0" borderId="0" xfId="0" quotePrefix="1" applyNumberFormat="1" applyFont="1" applyBorder="1" applyAlignment="1">
      <alignment horizontal="center"/>
    </xf>
    <xf numFmtId="0" fontId="0" fillId="0" borderId="0" xfId="0" applyAlignment="1">
      <alignment vertical="top" wrapText="1"/>
    </xf>
    <xf numFmtId="0" fontId="23" fillId="0" borderId="0" xfId="0" applyFont="1" applyBorder="1"/>
    <xf numFmtId="0" fontId="26" fillId="0" borderId="0" xfId="0" applyFont="1" applyBorder="1" applyAlignment="1">
      <alignment horizontal="center"/>
    </xf>
    <xf numFmtId="0" fontId="26" fillId="0" borderId="0" xfId="0" applyFont="1" applyBorder="1"/>
    <xf numFmtId="0" fontId="29" fillId="0" borderId="0" xfId="0" applyFont="1"/>
    <xf numFmtId="0" fontId="14" fillId="0" borderId="0" xfId="0" applyFont="1" applyAlignment="1">
      <alignment vertical="top" wrapText="1"/>
    </xf>
    <xf numFmtId="165" fontId="0" fillId="0" borderId="0" xfId="0" applyNumberFormat="1"/>
    <xf numFmtId="168" fontId="0" fillId="0" borderId="0" xfId="0" applyNumberFormat="1"/>
    <xf numFmtId="167" fontId="0" fillId="0" borderId="0" xfId="0" applyNumberFormat="1"/>
    <xf numFmtId="0" fontId="27" fillId="2" borderId="0" xfId="0" applyFont="1" applyFill="1" applyBorder="1" applyAlignment="1" applyProtection="1">
      <alignment horizontal="center" vertical="center"/>
      <protection locked="0"/>
    </xf>
    <xf numFmtId="0" fontId="17" fillId="0" borderId="0" xfId="0" applyFont="1" applyBorder="1" applyAlignment="1"/>
    <xf numFmtId="0" fontId="17" fillId="0" borderId="0" xfId="0" applyFont="1" applyBorder="1" applyAlignment="1">
      <alignment vertical="center" wrapText="1"/>
    </xf>
    <xf numFmtId="0" fontId="29" fillId="0" borderId="0" xfId="0" applyFont="1" applyBorder="1" applyAlignment="1">
      <alignment horizontal="center" vertical="center"/>
    </xf>
    <xf numFmtId="1" fontId="0" fillId="0" borderId="0" xfId="0" applyNumberFormat="1" applyAlignment="1">
      <alignment horizontal="center"/>
    </xf>
    <xf numFmtId="0" fontId="26" fillId="0" borderId="0" xfId="0" applyFont="1" applyAlignment="1">
      <alignment horizontal="center" wrapText="1"/>
    </xf>
    <xf numFmtId="0" fontId="24" fillId="0" borderId="0" xfId="0" applyFont="1" applyAlignment="1">
      <alignment horizontal="center" wrapText="1"/>
    </xf>
    <xf numFmtId="2" fontId="24" fillId="0" borderId="0" xfId="0" quotePrefix="1" applyNumberFormat="1" applyFont="1" applyAlignment="1">
      <alignment horizontal="center"/>
    </xf>
    <xf numFmtId="9" fontId="0" fillId="0" borderId="0" xfId="0" applyNumberFormat="1"/>
    <xf numFmtId="9" fontId="0" fillId="0" borderId="0" xfId="0" applyNumberFormat="1" applyAlignment="1">
      <alignment horizontal="center"/>
    </xf>
    <xf numFmtId="0" fontId="24" fillId="0" borderId="0" xfId="0" applyFont="1" applyProtection="1">
      <protection hidden="1"/>
    </xf>
    <xf numFmtId="164" fontId="24" fillId="0" borderId="0" xfId="0" applyNumberFormat="1" applyFont="1" applyFill="1" applyBorder="1" applyProtection="1">
      <protection hidden="1"/>
    </xf>
    <xf numFmtId="9" fontId="24" fillId="0" borderId="0" xfId="0" applyNumberFormat="1" applyFont="1" applyProtection="1">
      <protection hidden="1"/>
    </xf>
    <xf numFmtId="164" fontId="24" fillId="0" borderId="0" xfId="0" applyNumberFormat="1" applyFont="1" applyBorder="1" applyProtection="1">
      <protection hidden="1"/>
    </xf>
    <xf numFmtId="0" fontId="0" fillId="0" borderId="0" xfId="0" applyFont="1" applyProtection="1">
      <protection hidden="1"/>
    </xf>
    <xf numFmtId="0" fontId="0" fillId="0" borderId="0" xfId="0" applyFont="1" applyFill="1" applyBorder="1" applyProtection="1">
      <protection hidden="1"/>
    </xf>
    <xf numFmtId="0" fontId="0" fillId="0" borderId="0" xfId="0" applyFont="1"/>
    <xf numFmtId="164" fontId="0" fillId="0" borderId="10" xfId="0" applyNumberFormat="1" applyFont="1" applyFill="1" applyBorder="1" applyProtection="1">
      <protection hidden="1"/>
    </xf>
    <xf numFmtId="2" fontId="0" fillId="0" borderId="10" xfId="0" applyNumberFormat="1" applyFont="1" applyFill="1" applyBorder="1" applyProtection="1">
      <protection hidden="1"/>
    </xf>
    <xf numFmtId="0" fontId="0" fillId="0" borderId="13" xfId="0" applyFont="1" applyBorder="1" applyProtection="1">
      <protection hidden="1"/>
    </xf>
    <xf numFmtId="0" fontId="0" fillId="0" borderId="14" xfId="0" applyFont="1" applyBorder="1" applyProtection="1">
      <protection hidden="1"/>
    </xf>
    <xf numFmtId="164" fontId="0" fillId="0" borderId="0" xfId="0" applyNumberFormat="1" applyFont="1" applyFill="1" applyBorder="1" applyProtection="1">
      <protection hidden="1"/>
    </xf>
    <xf numFmtId="9" fontId="0" fillId="0" borderId="0" xfId="0" quotePrefix="1" applyNumberFormat="1" applyFont="1" applyFill="1" applyBorder="1" applyAlignment="1" applyProtection="1">
      <alignment horizontal="center"/>
      <protection hidden="1"/>
    </xf>
    <xf numFmtId="0" fontId="0" fillId="0" borderId="2" xfId="0" applyFont="1" applyBorder="1" applyProtection="1">
      <protection hidden="1"/>
    </xf>
    <xf numFmtId="9" fontId="0" fillId="0" borderId="0" xfId="0" quotePrefix="1" applyNumberFormat="1" applyFont="1" applyBorder="1" applyAlignment="1">
      <alignment horizontal="center"/>
    </xf>
    <xf numFmtId="0" fontId="0" fillId="0" borderId="2" xfId="0" applyFont="1" applyBorder="1"/>
    <xf numFmtId="0" fontId="0" fillId="0" borderId="2" xfId="0" applyFont="1" applyFill="1" applyBorder="1" applyProtection="1">
      <protection hidden="1"/>
    </xf>
    <xf numFmtId="164" fontId="0" fillId="0" borderId="11" xfId="0" applyNumberFormat="1" applyFont="1" applyFill="1" applyBorder="1" applyProtection="1">
      <protection hidden="1"/>
    </xf>
    <xf numFmtId="2" fontId="0" fillId="0" borderId="8" xfId="0" applyNumberFormat="1" applyFont="1" applyFill="1" applyBorder="1" applyProtection="1">
      <protection hidden="1"/>
    </xf>
    <xf numFmtId="164" fontId="0" fillId="0" borderId="8" xfId="0" applyNumberFormat="1" applyFont="1" applyFill="1" applyBorder="1" applyProtection="1">
      <protection hidden="1"/>
    </xf>
    <xf numFmtId="164" fontId="0" fillId="0" borderId="25" xfId="0" applyNumberFormat="1" applyFont="1" applyFill="1" applyBorder="1" applyProtection="1">
      <protection hidden="1"/>
    </xf>
    <xf numFmtId="9" fontId="0" fillId="0" borderId="25" xfId="0" quotePrefix="1" applyNumberFormat="1" applyFont="1" applyBorder="1" applyAlignment="1" applyProtection="1">
      <alignment horizontal="center"/>
      <protection hidden="1"/>
    </xf>
    <xf numFmtId="0" fontId="0" fillId="0" borderId="15" xfId="0" applyFont="1" applyBorder="1"/>
    <xf numFmtId="0" fontId="21" fillId="0" borderId="0" xfId="0" applyFont="1" applyFill="1" applyBorder="1" applyProtection="1">
      <protection hidden="1"/>
    </xf>
    <xf numFmtId="0" fontId="21" fillId="0" borderId="5" xfId="0" applyFont="1" applyFill="1" applyBorder="1" applyAlignment="1" applyProtection="1">
      <alignment horizontal="center"/>
      <protection hidden="1"/>
    </xf>
    <xf numFmtId="0" fontId="0" fillId="0" borderId="18" xfId="0" applyFont="1" applyBorder="1" applyProtection="1">
      <protection hidden="1"/>
    </xf>
    <xf numFmtId="0" fontId="0" fillId="0" borderId="19" xfId="0" applyFont="1" applyBorder="1" applyAlignment="1" applyProtection="1">
      <alignment horizontal="right"/>
      <protection hidden="1"/>
    </xf>
    <xf numFmtId="0" fontId="0" fillId="0" borderId="20" xfId="0" applyFont="1" applyBorder="1" applyProtection="1">
      <protection hidden="1"/>
    </xf>
    <xf numFmtId="0" fontId="21" fillId="0" borderId="0" xfId="0" applyFont="1" applyAlignment="1" applyProtection="1">
      <alignment horizontal="right"/>
      <protection hidden="1"/>
    </xf>
    <xf numFmtId="0" fontId="21" fillId="0" borderId="0" xfId="0" applyFont="1" applyProtection="1">
      <protection hidden="1"/>
    </xf>
    <xf numFmtId="0" fontId="21" fillId="0" borderId="6" xfId="0" applyFont="1" applyFill="1" applyBorder="1" applyAlignment="1" applyProtection="1">
      <alignment horizontal="center"/>
      <protection hidden="1"/>
    </xf>
    <xf numFmtId="9" fontId="12" fillId="4" borderId="18" xfId="0" applyNumberFormat="1" applyFont="1" applyFill="1" applyBorder="1" applyAlignment="1" applyProtection="1">
      <alignment horizontal="center"/>
      <protection hidden="1"/>
    </xf>
    <xf numFmtId="0" fontId="0" fillId="4" borderId="16" xfId="0" applyFont="1" applyFill="1" applyBorder="1" applyProtection="1">
      <protection hidden="1"/>
    </xf>
    <xf numFmtId="0" fontId="21" fillId="0" borderId="7" xfId="0" applyFont="1" applyFill="1" applyBorder="1" applyProtection="1">
      <protection hidden="1"/>
    </xf>
    <xf numFmtId="0" fontId="21" fillId="0" borderId="7" xfId="0" applyFont="1" applyFill="1" applyBorder="1" applyAlignment="1" applyProtection="1">
      <alignment horizontal="center"/>
      <protection hidden="1"/>
    </xf>
    <xf numFmtId="0" fontId="21" fillId="0" borderId="8" xfId="0" applyFont="1" applyFill="1" applyBorder="1" applyAlignment="1" applyProtection="1">
      <alignment horizontal="center"/>
      <protection hidden="1"/>
    </xf>
    <xf numFmtId="9" fontId="0" fillId="0" borderId="21" xfId="0" applyNumberFormat="1" applyFont="1" applyBorder="1" applyAlignment="1" applyProtection="1">
      <alignment horizontal="center"/>
      <protection hidden="1"/>
    </xf>
    <xf numFmtId="0" fontId="0" fillId="4" borderId="17" xfId="0" applyFont="1" applyFill="1" applyBorder="1" applyProtection="1">
      <protection hidden="1"/>
    </xf>
    <xf numFmtId="9" fontId="0" fillId="0" borderId="21" xfId="0" applyNumberFormat="1" applyFont="1" applyBorder="1" applyAlignment="1">
      <alignment horizontal="center"/>
    </xf>
    <xf numFmtId="9" fontId="0" fillId="0" borderId="22" xfId="0" applyNumberFormat="1" applyFont="1" applyBorder="1" applyAlignment="1">
      <alignment horizontal="center"/>
    </xf>
    <xf numFmtId="0" fontId="0" fillId="4" borderId="23" xfId="0" applyFont="1" applyFill="1" applyBorder="1" applyProtection="1">
      <protection hidden="1"/>
    </xf>
    <xf numFmtId="0" fontId="0" fillId="0" borderId="24" xfId="0" applyFont="1" applyBorder="1" applyProtection="1">
      <protection hidden="1"/>
    </xf>
    <xf numFmtId="0" fontId="21" fillId="4" borderId="12" xfId="0" applyFont="1" applyFill="1" applyBorder="1" applyProtection="1">
      <protection hidden="1"/>
    </xf>
    <xf numFmtId="0" fontId="12" fillId="0" borderId="0" xfId="0" applyFont="1" applyFill="1" applyBorder="1" applyProtection="1">
      <protection hidden="1"/>
    </xf>
    <xf numFmtId="0" fontId="12" fillId="0" borderId="25" xfId="0" applyFont="1" applyBorder="1" applyProtection="1">
      <protection hidden="1"/>
    </xf>
    <xf numFmtId="0" fontId="21" fillId="0" borderId="26" xfId="0" applyFont="1" applyFill="1" applyBorder="1" applyProtection="1">
      <protection hidden="1"/>
    </xf>
    <xf numFmtId="0" fontId="0" fillId="5" borderId="27" xfId="0" applyFont="1" applyFill="1" applyBorder="1" applyProtection="1">
      <protection locked="0" hidden="1"/>
    </xf>
    <xf numFmtId="0" fontId="21" fillId="0" borderId="28" xfId="0" applyFont="1" applyFill="1" applyBorder="1" applyProtection="1">
      <protection hidden="1"/>
    </xf>
    <xf numFmtId="0" fontId="0" fillId="5" borderId="29" xfId="0" applyFont="1" applyFill="1" applyBorder="1" applyProtection="1">
      <protection locked="0" hidden="1"/>
    </xf>
    <xf numFmtId="0" fontId="21" fillId="0" borderId="30" xfId="0" applyFont="1" applyFill="1" applyBorder="1" applyProtection="1">
      <protection hidden="1"/>
    </xf>
    <xf numFmtId="0" fontId="0" fillId="5" borderId="31" xfId="0" applyFont="1" applyFill="1" applyBorder="1" applyProtection="1">
      <protection locked="0" hidden="1"/>
    </xf>
    <xf numFmtId="0" fontId="30" fillId="0" borderId="0" xfId="0" applyFont="1"/>
    <xf numFmtId="0" fontId="7" fillId="0" borderId="0" xfId="0" applyFont="1"/>
    <xf numFmtId="0" fontId="30" fillId="0" borderId="0" xfId="0" applyFont="1" applyAlignment="1">
      <alignment wrapText="1"/>
    </xf>
    <xf numFmtId="0" fontId="0" fillId="0" borderId="0" xfId="0" applyFont="1" applyFill="1" applyProtection="1">
      <protection hidden="1"/>
    </xf>
    <xf numFmtId="0" fontId="0" fillId="0" borderId="0" xfId="0" applyFont="1" applyFill="1"/>
    <xf numFmtId="0" fontId="0" fillId="0" borderId="0" xfId="0" applyFill="1" applyProtection="1">
      <protection hidden="1"/>
    </xf>
    <xf numFmtId="0" fontId="0" fillId="0" borderId="0" xfId="0" applyFont="1" applyFill="1" applyBorder="1"/>
    <xf numFmtId="0" fontId="21" fillId="0" borderId="32" xfId="0" applyFont="1" applyFill="1" applyBorder="1" applyProtection="1">
      <protection hidden="1"/>
    </xf>
    <xf numFmtId="0" fontId="21" fillId="0" borderId="19" xfId="0" applyFont="1" applyFill="1" applyBorder="1" applyAlignment="1" applyProtection="1">
      <alignment horizontal="center"/>
      <protection hidden="1"/>
    </xf>
    <xf numFmtId="0" fontId="21" fillId="0" borderId="1" xfId="0" applyFont="1" applyFill="1" applyBorder="1" applyAlignment="1">
      <alignment horizontal="center"/>
    </xf>
    <xf numFmtId="0" fontId="21" fillId="0" borderId="1" xfId="0" applyFont="1" applyFill="1" applyBorder="1" applyProtection="1">
      <protection hidden="1"/>
    </xf>
    <xf numFmtId="0" fontId="21" fillId="0" borderId="3" xfId="0" applyFont="1" applyFill="1" applyBorder="1" applyProtection="1">
      <protection hidden="1"/>
    </xf>
    <xf numFmtId="2" fontId="0" fillId="0" borderId="0" xfId="0" applyNumberFormat="1" applyFont="1" applyFill="1" applyBorder="1" applyProtection="1">
      <protection hidden="1"/>
    </xf>
    <xf numFmtId="164" fontId="0" fillId="0" borderId="0" xfId="0" applyNumberFormat="1" applyAlignment="1">
      <alignment horizontal="center"/>
    </xf>
    <xf numFmtId="0" fontId="13" fillId="2" borderId="0" xfId="0" applyFont="1" applyFill="1" applyAlignment="1" applyProtection="1">
      <alignment horizontal="center"/>
      <protection locked="0"/>
    </xf>
    <xf numFmtId="0" fontId="21" fillId="2" borderId="0" xfId="0" applyFont="1" applyFill="1" applyAlignment="1" applyProtection="1">
      <alignment horizontal="center"/>
      <protection locked="0"/>
    </xf>
    <xf numFmtId="1" fontId="30" fillId="0" borderId="0" xfId="0" applyNumberFormat="1" applyFont="1" applyAlignment="1">
      <alignment horizontal="center"/>
    </xf>
    <xf numFmtId="1" fontId="7" fillId="0" borderId="0" xfId="0" applyNumberFormat="1" applyFont="1" applyAlignment="1">
      <alignment horizontal="center"/>
    </xf>
    <xf numFmtId="0" fontId="16" fillId="0" borderId="0" xfId="0" applyFont="1" applyAlignment="1">
      <alignment horizontal="center"/>
    </xf>
    <xf numFmtId="164" fontId="16" fillId="0" borderId="0" xfId="0" applyNumberFormat="1" applyFont="1" applyAlignment="1">
      <alignment horizontal="center"/>
    </xf>
    <xf numFmtId="0" fontId="18" fillId="2" borderId="0" xfId="0" applyFont="1" applyFill="1" applyAlignment="1" applyProtection="1">
      <alignment horizontal="center"/>
      <protection locked="0"/>
    </xf>
    <xf numFmtId="1" fontId="16" fillId="0" borderId="0" xfId="0" applyNumberFormat="1" applyFont="1" applyAlignment="1">
      <alignment horizontal="center"/>
    </xf>
    <xf numFmtId="0" fontId="21" fillId="6" borderId="1" xfId="0" applyFont="1" applyFill="1" applyBorder="1" applyAlignment="1" applyProtection="1">
      <alignment horizontal="center"/>
      <protection locked="0" hidden="1"/>
    </xf>
    <xf numFmtId="0" fontId="0" fillId="0" borderId="0" xfId="0" applyAlignment="1">
      <alignment horizontal="left"/>
    </xf>
    <xf numFmtId="0" fontId="4" fillId="0" borderId="0" xfId="0" applyFont="1" applyAlignment="1">
      <alignment horizontal="left" wrapText="1"/>
    </xf>
    <xf numFmtId="164" fontId="1" fillId="0" borderId="13" xfId="0" applyNumberFormat="1" applyFont="1" applyBorder="1"/>
    <xf numFmtId="164" fontId="1" fillId="0" borderId="13" xfId="0" applyNumberFormat="1" applyFont="1" applyBorder="1" applyAlignment="1"/>
    <xf numFmtId="0" fontId="1" fillId="0" borderId="0" xfId="0" applyFont="1" applyAlignment="1">
      <alignment horizontal="right"/>
    </xf>
    <xf numFmtId="2" fontId="32" fillId="0" borderId="0" xfId="0" applyNumberFormat="1" applyFont="1" applyAlignment="1">
      <alignment horizontal="center"/>
    </xf>
    <xf numFmtId="0" fontId="32" fillId="0" borderId="0" xfId="0" applyFont="1"/>
    <xf numFmtId="2" fontId="24" fillId="6" borderId="0" xfId="0" applyNumberFormat="1" applyFont="1" applyFill="1" applyAlignment="1" applyProtection="1">
      <alignment horizontal="center"/>
      <protection locked="0"/>
    </xf>
    <xf numFmtId="2" fontId="24" fillId="2" borderId="0" xfId="0" applyNumberFormat="1" applyFont="1" applyFill="1" applyAlignment="1" applyProtection="1">
      <alignment horizontal="center"/>
      <protection locked="0"/>
    </xf>
    <xf numFmtId="0" fontId="17" fillId="0" borderId="0" xfId="0" applyFont="1"/>
    <xf numFmtId="164" fontId="19" fillId="0" borderId="0" xfId="0" applyNumberFormat="1" applyFont="1" applyBorder="1" applyAlignment="1">
      <alignment horizontal="right"/>
    </xf>
    <xf numFmtId="167" fontId="33" fillId="0" borderId="0" xfId="0" applyNumberFormat="1" applyFont="1" applyBorder="1" applyAlignment="1">
      <alignment horizontal="right"/>
    </xf>
    <xf numFmtId="0" fontId="26" fillId="0" borderId="0" xfId="0" applyFont="1" applyBorder="1" applyAlignment="1">
      <alignment wrapText="1"/>
    </xf>
    <xf numFmtId="0" fontId="26" fillId="0" borderId="0" xfId="0" applyFont="1" applyBorder="1" applyAlignment="1"/>
    <xf numFmtId="2" fontId="35" fillId="0" borderId="0" xfId="0" applyNumberFormat="1" applyFont="1"/>
    <xf numFmtId="168" fontId="36" fillId="0" borderId="0" xfId="0" applyNumberFormat="1" applyFont="1" applyBorder="1" applyAlignment="1">
      <alignment horizontal="center"/>
    </xf>
    <xf numFmtId="167" fontId="26" fillId="0" borderId="0" xfId="0" applyNumberFormat="1" applyFont="1" applyBorder="1"/>
    <xf numFmtId="165" fontId="26" fillId="0" borderId="0" xfId="0" applyNumberFormat="1" applyFont="1" applyBorder="1"/>
    <xf numFmtId="0" fontId="20" fillId="2" borderId="0" xfId="0" applyFont="1" applyFill="1" applyAlignment="1" applyProtection="1">
      <alignment horizontal="center"/>
      <protection locked="0"/>
    </xf>
    <xf numFmtId="0" fontId="23" fillId="0" borderId="0" xfId="0" applyFont="1" applyAlignment="1">
      <alignment horizontal="center" vertical="center" wrapText="1"/>
    </xf>
    <xf numFmtId="166" fontId="23" fillId="0" borderId="0" xfId="0" applyNumberFormat="1" applyFont="1" applyAlignment="1">
      <alignment horizontal="center" vertical="center" wrapText="1"/>
    </xf>
    <xf numFmtId="0" fontId="16" fillId="0" borderId="0" xfId="0" applyFont="1" applyBorder="1" applyAlignment="1">
      <alignment horizontal="right" vertical="center"/>
    </xf>
    <xf numFmtId="0" fontId="16"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37" fillId="0" borderId="0" xfId="0" applyFont="1" applyBorder="1" applyAlignment="1">
      <alignment horizontal="center" vertical="center" wrapText="1"/>
    </xf>
    <xf numFmtId="169" fontId="37" fillId="0" borderId="0" xfId="0" applyNumberFormat="1" applyFont="1" applyBorder="1" applyAlignment="1">
      <alignment horizontal="right"/>
    </xf>
    <xf numFmtId="0" fontId="38" fillId="0" borderId="0" xfId="0" applyFont="1" applyFill="1" applyBorder="1" applyAlignment="1">
      <alignment horizontal="center" vertical="center" wrapText="1"/>
    </xf>
    <xf numFmtId="0" fontId="10" fillId="0" borderId="0" xfId="0" applyFont="1" applyBorder="1" applyAlignment="1">
      <alignment horizontal="right"/>
    </xf>
    <xf numFmtId="0" fontId="40" fillId="0" borderId="0" xfId="0" applyFont="1" applyFill="1" applyAlignment="1">
      <alignment horizontal="left"/>
    </xf>
    <xf numFmtId="0" fontId="0" fillId="0" borderId="0" xfId="0" applyFill="1" applyAlignment="1">
      <alignment horizontal="left"/>
    </xf>
    <xf numFmtId="0" fontId="0" fillId="0" borderId="0" xfId="0" applyFill="1" applyAlignment="1">
      <alignment horizontal="center"/>
    </xf>
    <xf numFmtId="167" fontId="41" fillId="0" borderId="0" xfId="0" applyNumberFormat="1" applyFont="1" applyFill="1"/>
    <xf numFmtId="2" fontId="41" fillId="0" borderId="0" xfId="0" applyNumberFormat="1" applyFont="1" applyFill="1"/>
    <xf numFmtId="0" fontId="0" fillId="0" borderId="0" xfId="0" applyFill="1"/>
    <xf numFmtId="0" fontId="0" fillId="0" borderId="0" xfId="0" applyFill="1" applyAlignment="1">
      <alignment horizontal="right"/>
    </xf>
    <xf numFmtId="2" fontId="41" fillId="9" borderId="33" xfId="0" applyNumberFormat="1" applyFont="1" applyFill="1" applyBorder="1" applyProtection="1">
      <protection locked="0"/>
    </xf>
    <xf numFmtId="0" fontId="41" fillId="0" borderId="0" xfId="0" applyFont="1" applyFill="1"/>
    <xf numFmtId="167" fontId="41" fillId="0" borderId="0" xfId="0" applyNumberFormat="1" applyFont="1" applyFill="1" applyAlignment="1">
      <alignment horizontal="right"/>
    </xf>
    <xf numFmtId="167" fontId="41" fillId="9" borderId="33" xfId="0" applyNumberFormat="1" applyFont="1" applyFill="1" applyBorder="1" applyProtection="1">
      <protection locked="0"/>
    </xf>
    <xf numFmtId="0" fontId="0" fillId="0" borderId="0" xfId="0" applyFill="1" applyBorder="1" applyAlignment="1">
      <alignment horizontal="left"/>
    </xf>
    <xf numFmtId="0" fontId="41" fillId="0" borderId="33" xfId="0" applyFont="1" applyFill="1" applyBorder="1" applyAlignment="1">
      <alignment horizontal="center"/>
    </xf>
    <xf numFmtId="2" fontId="0" fillId="0" borderId="33" xfId="0" applyNumberFormat="1" applyFill="1" applyBorder="1"/>
    <xf numFmtId="2" fontId="0" fillId="0" borderId="34" xfId="0" applyNumberFormat="1" applyFill="1" applyBorder="1"/>
    <xf numFmtId="0" fontId="0" fillId="0" borderId="1" xfId="0" applyFill="1" applyBorder="1"/>
    <xf numFmtId="0" fontId="0" fillId="0" borderId="2" xfId="0" applyFill="1" applyBorder="1" applyAlignment="1">
      <alignment horizontal="left"/>
    </xf>
    <xf numFmtId="0" fontId="41" fillId="10" borderId="35" xfId="0" applyFont="1" applyFill="1" applyBorder="1" applyAlignment="1">
      <alignment horizontal="center"/>
    </xf>
    <xf numFmtId="1" fontId="41" fillId="10" borderId="36" xfId="0" applyNumberFormat="1" applyFont="1" applyFill="1" applyBorder="1" applyAlignment="1">
      <alignment horizontal="center"/>
    </xf>
    <xf numFmtId="2" fontId="0" fillId="10" borderId="37" xfId="0" applyNumberFormat="1" applyFill="1" applyBorder="1"/>
    <xf numFmtId="2" fontId="0" fillId="10" borderId="38" xfId="0" applyNumberFormat="1" applyFill="1" applyBorder="1"/>
    <xf numFmtId="0" fontId="0" fillId="0" borderId="0" xfId="0" applyFill="1" applyBorder="1"/>
    <xf numFmtId="0" fontId="41" fillId="0" borderId="39" xfId="0" applyFont="1" applyFill="1" applyBorder="1" applyAlignment="1">
      <alignment horizontal="center"/>
    </xf>
    <xf numFmtId="1" fontId="41" fillId="0" borderId="37" xfId="0" applyNumberFormat="1" applyFont="1" applyFill="1" applyBorder="1" applyAlignment="1">
      <alignment horizontal="center"/>
    </xf>
    <xf numFmtId="2" fontId="0" fillId="0" borderId="37" xfId="0" applyNumberFormat="1" applyFill="1" applyBorder="1"/>
    <xf numFmtId="2" fontId="0" fillId="0" borderId="38" xfId="0" applyNumberFormat="1" applyFill="1" applyBorder="1"/>
    <xf numFmtId="0" fontId="41" fillId="10" borderId="39" xfId="0" applyFont="1" applyFill="1" applyBorder="1" applyAlignment="1">
      <alignment horizontal="center"/>
    </xf>
    <xf numFmtId="1" fontId="41" fillId="10" borderId="37" xfId="0" applyNumberFormat="1" applyFont="1" applyFill="1" applyBorder="1" applyAlignment="1">
      <alignment horizontal="center"/>
    </xf>
    <xf numFmtId="0" fontId="0" fillId="0" borderId="0" xfId="0" applyFill="1" applyBorder="1" applyAlignment="1"/>
    <xf numFmtId="0" fontId="45" fillId="0" borderId="0" xfId="0" applyFont="1" applyFill="1" applyBorder="1" applyAlignment="1">
      <alignment horizontal="left"/>
    </xf>
    <xf numFmtId="0" fontId="46" fillId="0" borderId="0" xfId="0" applyFont="1" applyFill="1" applyBorder="1" applyAlignment="1">
      <alignment horizontal="center"/>
    </xf>
    <xf numFmtId="2" fontId="45" fillId="0" borderId="0" xfId="0" applyNumberFormat="1" applyFont="1" applyFill="1" applyBorder="1" applyAlignment="1">
      <alignment horizontal="left"/>
    </xf>
    <xf numFmtId="9" fontId="45" fillId="0" borderId="0" xfId="0" applyNumberFormat="1" applyFont="1" applyFill="1" applyBorder="1" applyAlignment="1">
      <alignment horizontal="center"/>
    </xf>
    <xf numFmtId="2" fontId="45" fillId="0" borderId="0" xfId="0" applyNumberFormat="1" applyFont="1" applyFill="1" applyBorder="1" applyAlignment="1">
      <alignment horizontal="center"/>
    </xf>
    <xf numFmtId="0" fontId="41" fillId="10" borderId="1" xfId="0" applyFont="1" applyFill="1" applyBorder="1" applyAlignment="1">
      <alignment horizontal="center"/>
    </xf>
    <xf numFmtId="1" fontId="41" fillId="10" borderId="0" xfId="0" applyNumberFormat="1" applyFont="1" applyFill="1" applyBorder="1" applyAlignment="1">
      <alignment horizontal="center"/>
    </xf>
    <xf numFmtId="2" fontId="0" fillId="10" borderId="0" xfId="0" applyNumberFormat="1" applyFill="1" applyBorder="1"/>
    <xf numFmtId="2" fontId="0" fillId="10" borderId="2" xfId="0" applyNumberFormat="1" applyFill="1" applyBorder="1"/>
    <xf numFmtId="0" fontId="41" fillId="0" borderId="34" xfId="0" applyFont="1" applyFill="1" applyBorder="1" applyAlignment="1">
      <alignment horizontal="center"/>
    </xf>
    <xf numFmtId="1" fontId="41" fillId="0" borderId="40" xfId="0" applyNumberFormat="1" applyFont="1" applyFill="1" applyBorder="1" applyAlignment="1">
      <alignment horizontal="center"/>
    </xf>
    <xf numFmtId="2" fontId="0" fillId="0" borderId="40" xfId="0" applyNumberFormat="1" applyFill="1" applyBorder="1"/>
    <xf numFmtId="2" fontId="0" fillId="0" borderId="41" xfId="0" applyNumberFormat="1" applyFill="1" applyBorder="1"/>
    <xf numFmtId="0" fontId="45" fillId="0" borderId="0" xfId="0" applyFont="1" applyFill="1" applyBorder="1" applyAlignment="1">
      <alignment horizontal="center"/>
    </xf>
    <xf numFmtId="2" fontId="43" fillId="0" borderId="0" xfId="0" applyNumberFormat="1" applyFont="1" applyFill="1" applyBorder="1" applyAlignment="1">
      <alignment horizontal="center"/>
    </xf>
    <xf numFmtId="9" fontId="43" fillId="0" borderId="0" xfId="0" applyNumberFormat="1" applyFont="1" applyFill="1" applyBorder="1" applyAlignment="1">
      <alignment horizontal="center"/>
    </xf>
    <xf numFmtId="0" fontId="0" fillId="0" borderId="0" xfId="0" applyFill="1" applyBorder="1" applyAlignment="1">
      <alignment horizontal="center"/>
    </xf>
    <xf numFmtId="0" fontId="41" fillId="0" borderId="3" xfId="0" applyFont="1" applyFill="1" applyBorder="1" applyAlignment="1">
      <alignment horizontal="center"/>
    </xf>
    <xf numFmtId="1" fontId="41" fillId="0" borderId="25" xfId="0" applyNumberFormat="1" applyFont="1" applyFill="1" applyBorder="1" applyAlignment="1">
      <alignment horizontal="center"/>
    </xf>
    <xf numFmtId="2" fontId="0" fillId="0" borderId="42" xfId="0" applyNumberFormat="1" applyFill="1" applyBorder="1"/>
    <xf numFmtId="2" fontId="0" fillId="0" borderId="43" xfId="0" applyNumberFormat="1" applyFill="1" applyBorder="1"/>
    <xf numFmtId="0" fontId="44" fillId="0" borderId="0" xfId="0" applyFont="1" applyFill="1" applyAlignment="1">
      <alignment horizontal="center"/>
    </xf>
    <xf numFmtId="0" fontId="42" fillId="0" borderId="0" xfId="0" applyFont="1" applyFill="1" applyBorder="1" applyAlignment="1">
      <alignment horizontal="center"/>
    </xf>
    <xf numFmtId="2" fontId="43" fillId="0" borderId="0" xfId="0" applyNumberFormat="1" applyFont="1" applyFill="1" applyBorder="1" applyAlignment="1" applyProtection="1">
      <alignment horizontal="center"/>
      <protection locked="0"/>
    </xf>
    <xf numFmtId="0" fontId="44" fillId="0" borderId="0" xfId="0" applyFont="1" applyFill="1" applyBorder="1" applyAlignment="1">
      <alignment horizontal="center"/>
    </xf>
    <xf numFmtId="0" fontId="0" fillId="0" borderId="19" xfId="0" applyBorder="1"/>
    <xf numFmtId="0" fontId="0" fillId="0" borderId="44" xfId="0" applyBorder="1"/>
    <xf numFmtId="0" fontId="0" fillId="0" borderId="20" xfId="0" applyBorder="1"/>
    <xf numFmtId="0" fontId="0" fillId="0" borderId="1" xfId="0" applyBorder="1"/>
    <xf numFmtId="0" fontId="0" fillId="0" borderId="0" xfId="0" applyBorder="1"/>
    <xf numFmtId="0" fontId="0" fillId="0" borderId="2" xfId="0" applyBorder="1"/>
    <xf numFmtId="0" fontId="0" fillId="8" borderId="1" xfId="0" applyFill="1" applyBorder="1"/>
    <xf numFmtId="0" fontId="0" fillId="8" borderId="0" xfId="0" applyFill="1" applyBorder="1"/>
    <xf numFmtId="0" fontId="0" fillId="6" borderId="0" xfId="0" applyFill="1" applyBorder="1"/>
    <xf numFmtId="0" fontId="0" fillId="7" borderId="0" xfId="0" applyFill="1" applyBorder="1"/>
    <xf numFmtId="0" fontId="0" fillId="0" borderId="3" xfId="0" applyBorder="1"/>
    <xf numFmtId="0" fontId="0" fillId="0" borderId="25" xfId="0" applyBorder="1"/>
    <xf numFmtId="0" fontId="0" fillId="0" borderId="24" xfId="0" applyBorder="1"/>
    <xf numFmtId="0" fontId="1" fillId="0" borderId="1" xfId="0" applyFont="1" applyBorder="1"/>
    <xf numFmtId="0" fontId="0" fillId="3" borderId="19" xfId="0" applyFill="1" applyBorder="1"/>
    <xf numFmtId="0" fontId="0" fillId="3" borderId="44" xfId="0" applyFill="1" applyBorder="1"/>
    <xf numFmtId="0" fontId="0" fillId="3" borderId="20" xfId="0" applyFill="1" applyBorder="1"/>
    <xf numFmtId="0" fontId="0" fillId="3" borderId="1" xfId="0" applyFill="1" applyBorder="1"/>
    <xf numFmtId="0" fontId="1" fillId="3" borderId="0" xfId="0" applyFont="1" applyFill="1"/>
    <xf numFmtId="0" fontId="0" fillId="3" borderId="0" xfId="0" applyFill="1"/>
    <xf numFmtId="0" fontId="0" fillId="3" borderId="0" xfId="0" applyFill="1" applyBorder="1"/>
    <xf numFmtId="0" fontId="0" fillId="3" borderId="2" xfId="0" applyFill="1" applyBorder="1"/>
    <xf numFmtId="165" fontId="0" fillId="3" borderId="0" xfId="0" applyNumberFormat="1" applyFill="1" applyBorder="1"/>
    <xf numFmtId="0" fontId="0" fillId="3" borderId="3" xfId="0" applyFill="1" applyBorder="1"/>
    <xf numFmtId="0" fontId="0" fillId="3" borderId="25" xfId="0" applyFill="1" applyBorder="1"/>
    <xf numFmtId="0" fontId="0" fillId="3" borderId="24" xfId="0" applyFill="1" applyBorder="1"/>
    <xf numFmtId="0" fontId="16" fillId="0" borderId="0" xfId="0" applyFont="1" applyFill="1"/>
    <xf numFmtId="0" fontId="0" fillId="3" borderId="0" xfId="0" applyFill="1" applyBorder="1" applyAlignment="1">
      <alignment horizontal="right"/>
    </xf>
    <xf numFmtId="0" fontId="0" fillId="6" borderId="0" xfId="0" applyFill="1" applyBorder="1" applyAlignment="1">
      <alignment horizontal="right"/>
    </xf>
    <xf numFmtId="0" fontId="0" fillId="7" borderId="0" xfId="0" applyFill="1" applyBorder="1" applyAlignment="1">
      <alignment horizontal="right"/>
    </xf>
    <xf numFmtId="0" fontId="0" fillId="8" borderId="1" xfId="0" applyFill="1" applyBorder="1" applyAlignment="1">
      <alignment horizontal="right"/>
    </xf>
    <xf numFmtId="0" fontId="1" fillId="0" borderId="0" xfId="0" applyFont="1" applyBorder="1"/>
    <xf numFmtId="0" fontId="0" fillId="0" borderId="0" xfId="0" applyAlignment="1">
      <alignment horizontal="right"/>
    </xf>
    <xf numFmtId="1" fontId="49" fillId="0" borderId="0" xfId="1" applyNumberFormat="1" applyFont="1" applyFill="1" applyAlignment="1">
      <alignment horizontal="center"/>
    </xf>
    <xf numFmtId="0" fontId="49" fillId="0" borderId="0" xfId="1" applyFont="1" applyFill="1"/>
    <xf numFmtId="0" fontId="18" fillId="0" borderId="0" xfId="0" applyFont="1" applyFill="1" applyAlignment="1" applyProtection="1">
      <alignment horizontal="center"/>
    </xf>
    <xf numFmtId="0" fontId="16" fillId="0" borderId="0" xfId="1" applyFont="1" applyFill="1"/>
    <xf numFmtId="0" fontId="31" fillId="0" borderId="0" xfId="0" applyFont="1" applyAlignment="1">
      <alignment horizontal="center" wrapText="1"/>
    </xf>
    <xf numFmtId="0" fontId="17" fillId="0" borderId="0" xfId="0" applyFont="1" applyAlignment="1">
      <alignment horizontal="left" wrapText="1"/>
    </xf>
    <xf numFmtId="0" fontId="50" fillId="0" borderId="0" xfId="1" applyFont="1" applyFill="1"/>
    <xf numFmtId="0" fontId="0" fillId="12" borderId="0" xfId="0" applyFill="1" applyAlignment="1" applyProtection="1">
      <alignment horizontal="right"/>
      <protection locked="0"/>
    </xf>
    <xf numFmtId="164" fontId="6" fillId="6" borderId="0" xfId="0" applyNumberFormat="1" applyFont="1" applyFill="1"/>
  </cellXfs>
  <cellStyles count="2">
    <cellStyle name="Good" xfId="1" builtinId="26"/>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showRowColHeaders="0" tabSelected="1" zoomScale="85" zoomScaleNormal="85" workbookViewId="0"/>
  </sheetViews>
  <sheetFormatPr defaultRowHeight="15" x14ac:dyDescent="0.25"/>
  <cols>
    <col min="1" max="1" width="3.42578125" customWidth="1"/>
    <col min="2" max="2" width="85.5703125" customWidth="1"/>
    <col min="4" max="4" width="73.5703125" customWidth="1"/>
  </cols>
  <sheetData>
    <row r="1" spans="2:4" s="18" customFormat="1" ht="230.25" customHeight="1" x14ac:dyDescent="0.25">
      <c r="B1" s="25" t="s">
        <v>110</v>
      </c>
      <c r="D1" s="58"/>
    </row>
    <row r="2" spans="2:4" ht="112.5" customHeight="1" x14ac:dyDescent="0.3">
      <c r="B2" s="25" t="s">
        <v>101</v>
      </c>
      <c r="D2" s="125" t="s">
        <v>109</v>
      </c>
    </row>
    <row r="3" spans="2:4" s="53" customFormat="1" ht="300.75" customHeight="1" x14ac:dyDescent="0.25">
      <c r="B3" s="58" t="s">
        <v>174</v>
      </c>
      <c r="D3" s="58"/>
    </row>
    <row r="4" spans="2:4" ht="126.75" customHeight="1" x14ac:dyDescent="0.25"/>
    <row r="5" spans="2:4" ht="29.25" customHeight="1" x14ac:dyDescent="0.25">
      <c r="B5" s="25"/>
    </row>
    <row r="6" spans="2:4" ht="18.75" x14ac:dyDescent="0.3">
      <c r="B6" s="21"/>
    </row>
    <row r="7" spans="2:4" x14ac:dyDescent="0.25">
      <c r="B7" s="18"/>
    </row>
    <row r="8" spans="2:4" x14ac:dyDescent="0.25">
      <c r="B8" s="18"/>
    </row>
    <row r="9" spans="2:4" x14ac:dyDescent="0.25">
      <c r="B9" s="18"/>
    </row>
    <row r="10" spans="2:4" x14ac:dyDescent="0.25">
      <c r="B10" s="18"/>
    </row>
    <row r="11" spans="2:4" x14ac:dyDescent="0.25">
      <c r="B11" s="18"/>
    </row>
    <row r="12" spans="2:4" x14ac:dyDescent="0.25">
      <c r="B12" s="18"/>
    </row>
    <row r="13" spans="2:4" x14ac:dyDescent="0.25">
      <c r="B13" s="18"/>
    </row>
  </sheetData>
  <sheetProtection password="E640"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showRowColHeaders="0" zoomScale="80" zoomScaleNormal="80" workbookViewId="0">
      <selection activeCell="B39" sqref="B39"/>
    </sheetView>
  </sheetViews>
  <sheetFormatPr defaultRowHeight="15" x14ac:dyDescent="0.25"/>
  <cols>
    <col min="1" max="1" width="73.5703125" customWidth="1"/>
    <col min="2" max="2" width="10.5703125" customWidth="1"/>
    <col min="3" max="3" width="4.7109375" customWidth="1"/>
    <col min="4" max="4" width="11.28515625" customWidth="1"/>
    <col min="5" max="5" width="5.5703125" customWidth="1"/>
    <col min="6" max="6" width="10.5703125" customWidth="1"/>
  </cols>
  <sheetData>
    <row r="1" spans="1:6" ht="21" x14ac:dyDescent="0.35">
      <c r="A1" s="6" t="s">
        <v>7</v>
      </c>
    </row>
    <row r="2" spans="1:6" x14ac:dyDescent="0.25">
      <c r="A2" s="14" t="s">
        <v>6</v>
      </c>
    </row>
    <row r="3" spans="1:6" x14ac:dyDescent="0.25">
      <c r="A3" s="4" t="s">
        <v>55</v>
      </c>
      <c r="B3" s="3" t="s">
        <v>0</v>
      </c>
      <c r="C3" s="2" t="s">
        <v>1</v>
      </c>
      <c r="D3" s="3" t="s">
        <v>8</v>
      </c>
      <c r="E3" s="2" t="s">
        <v>2</v>
      </c>
      <c r="F3" s="3" t="s">
        <v>54</v>
      </c>
    </row>
    <row r="4" spans="1:6" x14ac:dyDescent="0.25">
      <c r="A4" s="269" t="s">
        <v>3</v>
      </c>
      <c r="B4" s="22">
        <v>1950</v>
      </c>
      <c r="C4" s="2" t="s">
        <v>1</v>
      </c>
      <c r="D4" s="22">
        <v>0.1</v>
      </c>
      <c r="E4" s="2" t="s">
        <v>2</v>
      </c>
      <c r="F4" s="11">
        <f t="shared" ref="F4:F18" si="0">B4*D4/$B$21</f>
        <v>15.476190476190476</v>
      </c>
    </row>
    <row r="5" spans="1:6" x14ac:dyDescent="0.25">
      <c r="A5" s="269" t="s">
        <v>102</v>
      </c>
      <c r="B5" s="22">
        <v>32</v>
      </c>
      <c r="C5" s="2" t="s">
        <v>1</v>
      </c>
      <c r="D5" s="22">
        <v>2</v>
      </c>
      <c r="E5" s="2" t="s">
        <v>2</v>
      </c>
      <c r="F5" s="11">
        <f t="shared" si="0"/>
        <v>5.0793650793650791</v>
      </c>
    </row>
    <row r="6" spans="1:6" x14ac:dyDescent="0.25">
      <c r="A6" s="269" t="s">
        <v>4</v>
      </c>
      <c r="B6" s="22">
        <v>15</v>
      </c>
      <c r="C6" s="2" t="s">
        <v>1</v>
      </c>
      <c r="D6" s="22">
        <v>2</v>
      </c>
      <c r="E6" s="2" t="s">
        <v>2</v>
      </c>
      <c r="F6" s="11">
        <f t="shared" si="0"/>
        <v>2.3809523809523809</v>
      </c>
    </row>
    <row r="7" spans="1:6" x14ac:dyDescent="0.25">
      <c r="A7" s="269" t="s">
        <v>5</v>
      </c>
      <c r="B7" s="22">
        <v>35</v>
      </c>
      <c r="C7" s="2" t="s">
        <v>1</v>
      </c>
      <c r="D7" s="22">
        <v>1</v>
      </c>
      <c r="E7" s="2" t="s">
        <v>2</v>
      </c>
      <c r="F7" s="11">
        <f t="shared" si="0"/>
        <v>2.7777777777777777</v>
      </c>
    </row>
    <row r="8" spans="1:6" x14ac:dyDescent="0.25">
      <c r="A8" s="269" t="s">
        <v>40</v>
      </c>
      <c r="B8" s="22">
        <v>900</v>
      </c>
      <c r="C8" s="2" t="s">
        <v>1</v>
      </c>
      <c r="D8" s="22"/>
      <c r="E8" s="2" t="s">
        <v>2</v>
      </c>
      <c r="F8" s="11">
        <f t="shared" si="0"/>
        <v>0</v>
      </c>
    </row>
    <row r="9" spans="1:6" x14ac:dyDescent="0.25">
      <c r="A9" s="269" t="s">
        <v>107</v>
      </c>
      <c r="B9" s="22">
        <v>1200</v>
      </c>
      <c r="C9" s="2" t="s">
        <v>1</v>
      </c>
      <c r="D9" s="22"/>
      <c r="E9" s="2" t="s">
        <v>2</v>
      </c>
      <c r="F9" s="11">
        <f t="shared" si="0"/>
        <v>0</v>
      </c>
    </row>
    <row r="10" spans="1:6" x14ac:dyDescent="0.25">
      <c r="A10" s="269" t="s">
        <v>42</v>
      </c>
      <c r="B10" s="22">
        <v>950</v>
      </c>
      <c r="C10" s="2" t="s">
        <v>1</v>
      </c>
      <c r="D10" s="22">
        <v>0.1</v>
      </c>
      <c r="E10" s="2" t="s">
        <v>2</v>
      </c>
      <c r="F10" s="11">
        <f t="shared" si="0"/>
        <v>7.5396825396825395</v>
      </c>
    </row>
    <row r="11" spans="1:6" x14ac:dyDescent="0.25">
      <c r="A11" s="269" t="s">
        <v>100</v>
      </c>
      <c r="B11" s="22">
        <v>25</v>
      </c>
      <c r="C11" s="2" t="s">
        <v>1</v>
      </c>
      <c r="D11" s="22"/>
      <c r="E11" s="2" t="s">
        <v>2</v>
      </c>
      <c r="F11" s="11">
        <f t="shared" si="0"/>
        <v>0</v>
      </c>
    </row>
    <row r="12" spans="1:6" x14ac:dyDescent="0.25">
      <c r="A12" s="269"/>
      <c r="B12" s="22"/>
      <c r="C12" s="2" t="s">
        <v>1</v>
      </c>
      <c r="D12" s="22"/>
      <c r="E12" s="2" t="s">
        <v>2</v>
      </c>
      <c r="F12" s="11">
        <f t="shared" si="0"/>
        <v>0</v>
      </c>
    </row>
    <row r="13" spans="1:6" x14ac:dyDescent="0.25">
      <c r="A13" s="269"/>
      <c r="B13" s="22"/>
      <c r="C13" s="2" t="s">
        <v>1</v>
      </c>
      <c r="D13" s="22"/>
      <c r="E13" s="2" t="s">
        <v>2</v>
      </c>
      <c r="F13" s="11">
        <f t="shared" si="0"/>
        <v>0</v>
      </c>
    </row>
    <row r="14" spans="1:6" x14ac:dyDescent="0.25">
      <c r="A14" s="269"/>
      <c r="B14" s="22"/>
      <c r="C14" s="2" t="s">
        <v>1</v>
      </c>
      <c r="D14" s="22"/>
      <c r="E14" s="2" t="s">
        <v>2</v>
      </c>
      <c r="F14" s="11">
        <f t="shared" si="0"/>
        <v>0</v>
      </c>
    </row>
    <row r="15" spans="1:6" x14ac:dyDescent="0.25">
      <c r="A15" s="269"/>
      <c r="B15" s="22"/>
      <c r="C15" s="2" t="s">
        <v>1</v>
      </c>
      <c r="D15" s="22"/>
      <c r="E15" s="2" t="s">
        <v>2</v>
      </c>
      <c r="F15" s="11">
        <f t="shared" si="0"/>
        <v>0</v>
      </c>
    </row>
    <row r="16" spans="1:6" x14ac:dyDescent="0.25">
      <c r="A16" s="269"/>
      <c r="B16" s="22"/>
      <c r="C16" s="2" t="s">
        <v>1</v>
      </c>
      <c r="D16" s="22"/>
      <c r="E16" s="2" t="s">
        <v>2</v>
      </c>
      <c r="F16" s="11">
        <f t="shared" si="0"/>
        <v>0</v>
      </c>
    </row>
    <row r="17" spans="1:7" x14ac:dyDescent="0.25">
      <c r="A17" s="269"/>
      <c r="B17" s="22"/>
      <c r="C17" s="2" t="s">
        <v>1</v>
      </c>
      <c r="D17" s="22"/>
      <c r="E17" s="2" t="s">
        <v>2</v>
      </c>
      <c r="F17" s="11">
        <f t="shared" si="0"/>
        <v>0</v>
      </c>
    </row>
    <row r="18" spans="1:7" ht="15.75" thickBot="1" x14ac:dyDescent="0.3">
      <c r="A18" s="269"/>
      <c r="B18" s="22"/>
      <c r="C18" s="2" t="s">
        <v>1</v>
      </c>
      <c r="D18" s="22"/>
      <c r="E18" s="2" t="s">
        <v>2</v>
      </c>
      <c r="F18" s="11">
        <f t="shared" si="0"/>
        <v>0</v>
      </c>
    </row>
    <row r="19" spans="1:7" x14ac:dyDescent="0.25">
      <c r="A19" s="150"/>
      <c r="D19" s="50"/>
      <c r="E19" s="8" t="s">
        <v>131</v>
      </c>
      <c r="F19" s="149">
        <f>SUM(F4:F18)/B20</f>
        <v>39.122315592903831</v>
      </c>
      <c r="G19" t="s">
        <v>35</v>
      </c>
    </row>
    <row r="20" spans="1:7" x14ac:dyDescent="0.25">
      <c r="A20" s="4" t="s">
        <v>57</v>
      </c>
      <c r="B20" s="24">
        <v>0.85</v>
      </c>
      <c r="F20" s="17"/>
    </row>
    <row r="21" spans="1:7" x14ac:dyDescent="0.25">
      <c r="A21" s="4" t="s">
        <v>58</v>
      </c>
      <c r="B21" s="23">
        <v>12.6</v>
      </c>
      <c r="C21" t="s">
        <v>9</v>
      </c>
    </row>
    <row r="22" spans="1:7" ht="13.5" customHeight="1" x14ac:dyDescent="0.25">
      <c r="A22" s="4"/>
      <c r="G22" s="7"/>
    </row>
    <row r="23" spans="1:7" x14ac:dyDescent="0.25">
      <c r="A23" s="9" t="s">
        <v>10</v>
      </c>
    </row>
    <row r="24" spans="1:7" x14ac:dyDescent="0.25">
      <c r="A24" s="5" t="s">
        <v>56</v>
      </c>
      <c r="B24" s="3" t="s">
        <v>0</v>
      </c>
      <c r="C24" s="2" t="s">
        <v>1</v>
      </c>
      <c r="D24" s="3" t="s">
        <v>8</v>
      </c>
      <c r="E24" s="2" t="s">
        <v>2</v>
      </c>
      <c r="F24" s="3" t="s">
        <v>54</v>
      </c>
    </row>
    <row r="25" spans="1:7" x14ac:dyDescent="0.25">
      <c r="A25" s="269" t="s">
        <v>11</v>
      </c>
      <c r="B25" s="22">
        <v>114</v>
      </c>
      <c r="C25" s="2" t="s">
        <v>1</v>
      </c>
      <c r="D25" s="22">
        <v>1</v>
      </c>
      <c r="E25" s="2" t="s">
        <v>2</v>
      </c>
      <c r="F25" s="11">
        <f t="shared" ref="F25:F43" si="1">B25*D25/$B$21</f>
        <v>9.0476190476190474</v>
      </c>
    </row>
    <row r="26" spans="1:7" x14ac:dyDescent="0.25">
      <c r="A26" s="269" t="s">
        <v>12</v>
      </c>
      <c r="B26" s="22">
        <v>60</v>
      </c>
      <c r="C26" s="2" t="s">
        <v>1</v>
      </c>
      <c r="D26" s="22">
        <v>0.1</v>
      </c>
      <c r="E26" s="2" t="s">
        <v>2</v>
      </c>
      <c r="F26" s="11">
        <f t="shared" si="1"/>
        <v>0.47619047619047622</v>
      </c>
    </row>
    <row r="27" spans="1:7" x14ac:dyDescent="0.25">
      <c r="A27" s="269" t="s">
        <v>113</v>
      </c>
      <c r="B27" s="22">
        <v>36</v>
      </c>
      <c r="C27" s="2" t="s">
        <v>1</v>
      </c>
      <c r="D27" s="22"/>
      <c r="E27" s="2" t="s">
        <v>2</v>
      </c>
      <c r="F27" s="11">
        <f t="shared" si="1"/>
        <v>0</v>
      </c>
    </row>
    <row r="28" spans="1:7" x14ac:dyDescent="0.25">
      <c r="A28" s="269" t="s">
        <v>103</v>
      </c>
      <c r="B28" s="22">
        <v>16</v>
      </c>
      <c r="C28" s="2" t="s">
        <v>1</v>
      </c>
      <c r="D28" s="22">
        <v>0.5</v>
      </c>
      <c r="E28" s="2" t="s">
        <v>2</v>
      </c>
      <c r="F28" s="11">
        <f t="shared" si="1"/>
        <v>0.63492063492063489</v>
      </c>
    </row>
    <row r="29" spans="1:7" x14ac:dyDescent="0.25">
      <c r="A29" s="269" t="s">
        <v>112</v>
      </c>
      <c r="B29" s="22">
        <v>24</v>
      </c>
      <c r="C29" s="2" t="s">
        <v>1</v>
      </c>
      <c r="D29" s="22">
        <v>1</v>
      </c>
      <c r="E29" s="2" t="s">
        <v>2</v>
      </c>
      <c r="F29" s="11">
        <f t="shared" si="1"/>
        <v>1.9047619047619049</v>
      </c>
    </row>
    <row r="30" spans="1:7" x14ac:dyDescent="0.25">
      <c r="A30" s="269" t="s">
        <v>108</v>
      </c>
      <c r="B30" s="22">
        <v>16</v>
      </c>
      <c r="C30" s="2" t="s">
        <v>1</v>
      </c>
      <c r="D30" s="22">
        <v>2</v>
      </c>
      <c r="E30" s="2" t="s">
        <v>2</v>
      </c>
      <c r="F30" s="11">
        <f t="shared" si="1"/>
        <v>2.5396825396825395</v>
      </c>
    </row>
    <row r="31" spans="1:7" x14ac:dyDescent="0.25">
      <c r="A31" s="269" t="s">
        <v>13</v>
      </c>
      <c r="B31" s="22">
        <v>11</v>
      </c>
      <c r="C31" s="2" t="s">
        <v>1</v>
      </c>
      <c r="D31" s="22">
        <v>6</v>
      </c>
      <c r="E31" s="2" t="s">
        <v>2</v>
      </c>
      <c r="F31" s="11">
        <f t="shared" si="1"/>
        <v>5.2380952380952381</v>
      </c>
    </row>
    <row r="32" spans="1:7" x14ac:dyDescent="0.25">
      <c r="A32" s="269" t="s">
        <v>135</v>
      </c>
      <c r="B32" s="22">
        <v>12</v>
      </c>
      <c r="C32" s="2" t="s">
        <v>1</v>
      </c>
      <c r="D32" s="22">
        <v>0.3</v>
      </c>
      <c r="E32" s="2" t="s">
        <v>2</v>
      </c>
      <c r="F32" s="11">
        <f t="shared" si="1"/>
        <v>0.2857142857142857</v>
      </c>
    </row>
    <row r="33" spans="1:7" x14ac:dyDescent="0.25">
      <c r="A33" s="269" t="s">
        <v>39</v>
      </c>
      <c r="B33" s="22">
        <v>6</v>
      </c>
      <c r="C33" s="2" t="s">
        <v>1</v>
      </c>
      <c r="D33" s="22"/>
      <c r="E33" s="2" t="s">
        <v>2</v>
      </c>
      <c r="F33" s="11">
        <f t="shared" si="1"/>
        <v>0</v>
      </c>
    </row>
    <row r="34" spans="1:7" x14ac:dyDescent="0.25">
      <c r="A34" s="269" t="s">
        <v>165</v>
      </c>
      <c r="B34" s="22">
        <v>7</v>
      </c>
      <c r="C34" s="2" t="s">
        <v>1</v>
      </c>
      <c r="D34" s="22">
        <v>12</v>
      </c>
      <c r="E34" s="2" t="s">
        <v>2</v>
      </c>
      <c r="F34" s="11">
        <f t="shared" si="1"/>
        <v>6.666666666666667</v>
      </c>
    </row>
    <row r="35" spans="1:7" x14ac:dyDescent="0.25">
      <c r="A35" s="269" t="s">
        <v>116</v>
      </c>
      <c r="B35" s="22">
        <v>7</v>
      </c>
      <c r="C35" s="2" t="s">
        <v>1</v>
      </c>
      <c r="D35" s="22">
        <v>0.6</v>
      </c>
      <c r="E35" s="2" t="s">
        <v>2</v>
      </c>
      <c r="F35" s="11">
        <f t="shared" si="1"/>
        <v>0.33333333333333337</v>
      </c>
    </row>
    <row r="36" spans="1:7" x14ac:dyDescent="0.25">
      <c r="A36" s="269" t="s">
        <v>100</v>
      </c>
      <c r="B36" s="22">
        <v>8</v>
      </c>
      <c r="C36" s="2" t="s">
        <v>1</v>
      </c>
      <c r="D36" s="22"/>
      <c r="E36" s="2" t="s">
        <v>2</v>
      </c>
      <c r="F36" s="11">
        <f t="shared" si="1"/>
        <v>0</v>
      </c>
    </row>
    <row r="37" spans="1:7" x14ac:dyDescent="0.25">
      <c r="A37" s="269" t="s">
        <v>121</v>
      </c>
      <c r="B37" s="22">
        <v>30</v>
      </c>
      <c r="C37" s="2" t="s">
        <v>1</v>
      </c>
      <c r="D37" s="22">
        <v>0.2</v>
      </c>
      <c r="E37" s="2" t="s">
        <v>2</v>
      </c>
      <c r="F37" s="11">
        <f t="shared" si="1"/>
        <v>0.47619047619047622</v>
      </c>
    </row>
    <row r="38" spans="1:7" x14ac:dyDescent="0.25">
      <c r="A38" s="269" t="s">
        <v>173</v>
      </c>
      <c r="B38" s="22">
        <f>12.6*6</f>
        <v>75.599999999999994</v>
      </c>
      <c r="C38" s="2" t="s">
        <v>1</v>
      </c>
      <c r="D38" s="22"/>
      <c r="E38" s="2" t="s">
        <v>2</v>
      </c>
      <c r="F38" s="11">
        <f t="shared" si="1"/>
        <v>0</v>
      </c>
    </row>
    <row r="39" spans="1:7" x14ac:dyDescent="0.25">
      <c r="A39" s="269"/>
      <c r="B39" s="22"/>
      <c r="C39" s="2" t="s">
        <v>1</v>
      </c>
      <c r="D39" s="22"/>
      <c r="E39" s="2" t="s">
        <v>2</v>
      </c>
      <c r="F39" s="11">
        <f t="shared" si="1"/>
        <v>0</v>
      </c>
    </row>
    <row r="40" spans="1:7" x14ac:dyDescent="0.25">
      <c r="A40" s="269"/>
      <c r="B40" s="22"/>
      <c r="C40" s="2" t="s">
        <v>1</v>
      </c>
      <c r="D40" s="22"/>
      <c r="E40" s="2" t="s">
        <v>2</v>
      </c>
      <c r="F40" s="11">
        <f t="shared" si="1"/>
        <v>0</v>
      </c>
    </row>
    <row r="41" spans="1:7" x14ac:dyDescent="0.25">
      <c r="A41" s="269"/>
      <c r="B41" s="22"/>
      <c r="C41" s="2" t="s">
        <v>1</v>
      </c>
      <c r="D41" s="22"/>
      <c r="E41" s="2" t="s">
        <v>2</v>
      </c>
      <c r="F41" s="11">
        <f t="shared" si="1"/>
        <v>0</v>
      </c>
    </row>
    <row r="42" spans="1:7" x14ac:dyDescent="0.25">
      <c r="A42" s="269"/>
      <c r="B42" s="22"/>
      <c r="C42" s="2" t="s">
        <v>1</v>
      </c>
      <c r="D42" s="22"/>
      <c r="E42" s="2" t="s">
        <v>2</v>
      </c>
      <c r="F42" s="11">
        <f t="shared" si="1"/>
        <v>0</v>
      </c>
    </row>
    <row r="43" spans="1:7" ht="15.75" thickBot="1" x14ac:dyDescent="0.3">
      <c r="A43" s="269" t="s">
        <v>114</v>
      </c>
      <c r="B43" s="22">
        <v>7</v>
      </c>
      <c r="C43" s="2" t="s">
        <v>1</v>
      </c>
      <c r="D43" s="22">
        <v>24</v>
      </c>
      <c r="E43" s="2" t="s">
        <v>2</v>
      </c>
      <c r="F43" s="11">
        <f t="shared" si="1"/>
        <v>13.333333333333334</v>
      </c>
    </row>
    <row r="44" spans="1:7" x14ac:dyDescent="0.25">
      <c r="B44" s="15"/>
      <c r="C44" s="174" t="s">
        <v>132</v>
      </c>
      <c r="D44" s="15"/>
      <c r="E44" s="8" t="s">
        <v>41</v>
      </c>
      <c r="F44" s="148">
        <f>SUM(F25:F43)</f>
        <v>40.936507936507937</v>
      </c>
      <c r="G44" t="s">
        <v>35</v>
      </c>
    </row>
    <row r="45" spans="1:7" ht="18.75" x14ac:dyDescent="0.3">
      <c r="B45" s="15"/>
      <c r="C45" s="174" t="s">
        <v>133</v>
      </c>
      <c r="D45" s="15"/>
      <c r="E45" s="12" t="s">
        <v>17</v>
      </c>
      <c r="F45" s="270">
        <f>F44+F19</f>
        <v>80.058823529411768</v>
      </c>
      <c r="G45" t="s">
        <v>35</v>
      </c>
    </row>
    <row r="46" spans="1:7" x14ac:dyDescent="0.25">
      <c r="A46" s="10"/>
    </row>
    <row r="48" spans="1:7" x14ac:dyDescent="0.25">
      <c r="A48" s="13" t="s">
        <v>15</v>
      </c>
    </row>
    <row r="49" spans="1:1" x14ac:dyDescent="0.25">
      <c r="A49" s="1" t="s">
        <v>14</v>
      </c>
    </row>
  </sheetData>
  <sheetProtection password="E640" sheet="1" objects="1" scenarios="1" selectLockedCells="1"/>
  <printOptions gridLines="1"/>
  <pageMargins left="0.7" right="0.7" top="0.75" bottom="0.75" header="0.3" footer="0.3"/>
  <pageSetup scale="73" orientation="portrait" horizontalDpi="300" verticalDpi="300" r:id="rId1"/>
  <headerFooter>
    <oddFoote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showGridLines="0" showRowColHeaders="0" workbookViewId="0">
      <selection activeCell="C15" sqref="C15"/>
    </sheetView>
  </sheetViews>
  <sheetFormatPr defaultRowHeight="15" x14ac:dyDescent="0.25"/>
  <cols>
    <col min="1" max="1" width="97.28515625" customWidth="1"/>
    <col min="2" max="2" width="9.5703125" style="50" bestFit="1" customWidth="1"/>
    <col min="3" max="3" width="14" customWidth="1"/>
    <col min="4" max="4" width="13.7109375" customWidth="1"/>
    <col min="6" max="6" width="10.5703125" bestFit="1" customWidth="1"/>
  </cols>
  <sheetData>
    <row r="1" spans="1:5" ht="21" x14ac:dyDescent="0.35">
      <c r="A1" s="6" t="s">
        <v>26</v>
      </c>
    </row>
    <row r="4" spans="1:5" ht="18" customHeight="1" x14ac:dyDescent="0.25">
      <c r="A4" s="4" t="s">
        <v>111</v>
      </c>
      <c r="B4" s="136">
        <f>'Solar array sizing'!B2</f>
        <v>80.058823529411768</v>
      </c>
    </row>
    <row r="5" spans="1:5" ht="18.75" x14ac:dyDescent="0.3">
      <c r="A5" s="16" t="s">
        <v>79</v>
      </c>
      <c r="B5" s="137">
        <v>2</v>
      </c>
    </row>
    <row r="6" spans="1:5" x14ac:dyDescent="0.25">
      <c r="A6" s="4" t="s">
        <v>104</v>
      </c>
      <c r="B6" s="66">
        <f>B4*B5</f>
        <v>160.11764705882354</v>
      </c>
    </row>
    <row r="7" spans="1:5" x14ac:dyDescent="0.25">
      <c r="A7" s="4"/>
    </row>
    <row r="8" spans="1:5" ht="29.25" customHeight="1" x14ac:dyDescent="0.25">
      <c r="A8" s="19" t="s">
        <v>25</v>
      </c>
      <c r="B8" s="138">
        <v>1</v>
      </c>
    </row>
    <row r="9" spans="1:5" ht="21" x14ac:dyDescent="0.35">
      <c r="A9" s="267" t="s">
        <v>172</v>
      </c>
      <c r="B9" s="140">
        <f>B6/0.5*B8</f>
        <v>320.23529411764707</v>
      </c>
      <c r="C9" s="124" t="s">
        <v>96</v>
      </c>
    </row>
    <row r="10" spans="1:5" ht="21" x14ac:dyDescent="0.35">
      <c r="A10" s="266"/>
      <c r="B10" s="140"/>
      <c r="C10" s="124"/>
    </row>
    <row r="11" spans="1:5" ht="18.75" x14ac:dyDescent="0.3">
      <c r="A11" s="2" t="s">
        <v>106</v>
      </c>
      <c r="B11" s="139">
        <f>B6/0.8*B8</f>
        <v>200.14705882352942</v>
      </c>
      <c r="C11" s="123" t="s">
        <v>95</v>
      </c>
    </row>
    <row r="12" spans="1:5" ht="18.75" x14ac:dyDescent="0.3">
      <c r="A12" s="2"/>
      <c r="B12" s="139"/>
      <c r="C12" s="123"/>
    </row>
    <row r="14" spans="1:5" ht="57.75" x14ac:dyDescent="0.25">
      <c r="B14" s="67" t="s">
        <v>83</v>
      </c>
      <c r="C14" s="68" t="s">
        <v>136</v>
      </c>
    </row>
    <row r="15" spans="1:5" x14ac:dyDescent="0.25">
      <c r="A15" s="20" t="s">
        <v>18</v>
      </c>
      <c r="B15" s="67">
        <v>1</v>
      </c>
      <c r="C15" s="154">
        <v>14.6</v>
      </c>
    </row>
    <row r="16" spans="1:5" x14ac:dyDescent="0.25">
      <c r="A16" s="20" t="s">
        <v>19</v>
      </c>
      <c r="B16" s="67">
        <v>1.04</v>
      </c>
      <c r="C16" s="69">
        <f>C15+0.166</f>
        <v>14.766</v>
      </c>
      <c r="E16" s="50"/>
    </row>
    <row r="17" spans="1:8" x14ac:dyDescent="0.25">
      <c r="A17" s="20" t="s">
        <v>20</v>
      </c>
      <c r="B17" s="67">
        <v>1.1100000000000001</v>
      </c>
      <c r="C17" s="69">
        <f t="shared" ref="C17:C21" si="0">C16+0.166</f>
        <v>14.932</v>
      </c>
      <c r="E17" s="71"/>
      <c r="F17" s="66"/>
    </row>
    <row r="18" spans="1:8" x14ac:dyDescent="0.25">
      <c r="A18" s="20" t="s">
        <v>21</v>
      </c>
      <c r="B18" s="67">
        <v>1.19</v>
      </c>
      <c r="C18" s="69">
        <f t="shared" si="0"/>
        <v>15.098000000000001</v>
      </c>
      <c r="E18" s="71"/>
      <c r="F18" s="66"/>
    </row>
    <row r="19" spans="1:8" x14ac:dyDescent="0.25">
      <c r="A19" s="20" t="s">
        <v>22</v>
      </c>
      <c r="B19" s="67">
        <v>1.3</v>
      </c>
      <c r="C19" s="69">
        <f t="shared" si="0"/>
        <v>15.264000000000001</v>
      </c>
      <c r="E19" s="71"/>
      <c r="F19" s="66"/>
    </row>
    <row r="20" spans="1:8" x14ac:dyDescent="0.25">
      <c r="A20" s="20" t="s">
        <v>23</v>
      </c>
      <c r="B20" s="67">
        <v>1.4</v>
      </c>
      <c r="C20" s="69">
        <f t="shared" si="0"/>
        <v>15.430000000000001</v>
      </c>
      <c r="E20" s="71"/>
      <c r="F20" s="66"/>
    </row>
    <row r="21" spans="1:8" x14ac:dyDescent="0.25">
      <c r="A21" s="20" t="s">
        <v>24</v>
      </c>
      <c r="B21" s="67">
        <v>1.59</v>
      </c>
      <c r="C21" s="69">
        <f t="shared" si="0"/>
        <v>15.596000000000002</v>
      </c>
      <c r="E21" s="70"/>
    </row>
    <row r="22" spans="1:8" x14ac:dyDescent="0.25">
      <c r="D22" s="50"/>
      <c r="H22" s="17"/>
    </row>
    <row r="23" spans="1:8" x14ac:dyDescent="0.25">
      <c r="A23" s="147" t="s">
        <v>134</v>
      </c>
    </row>
    <row r="24" spans="1:8" x14ac:dyDescent="0.25">
      <c r="A24" s="146" t="s">
        <v>166</v>
      </c>
    </row>
    <row r="25" spans="1:8" x14ac:dyDescent="0.25">
      <c r="A25" t="s">
        <v>105</v>
      </c>
    </row>
    <row r="31" spans="1:8" x14ac:dyDescent="0.25">
      <c r="A31" s="15"/>
    </row>
    <row r="32" spans="1:8"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sheetData>
  <sheetProtection password="E640" sheet="1" objects="1" scenarios="1" selectLockedCells="1"/>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showRowColHeaders="0" workbookViewId="0">
      <selection activeCell="B4" sqref="B4"/>
    </sheetView>
  </sheetViews>
  <sheetFormatPr defaultRowHeight="15" x14ac:dyDescent="0.2"/>
  <cols>
    <col min="1" max="1" width="83.28515625" style="27" customWidth="1"/>
    <col min="2" max="2" width="13" style="141" customWidth="1"/>
    <col min="3" max="3" width="26.5703125" style="27" customWidth="1"/>
    <col min="4" max="4" width="11.5703125" style="27" customWidth="1"/>
    <col min="5" max="5" width="10.85546875" style="27" customWidth="1"/>
    <col min="6" max="16384" width="9.140625" style="27"/>
  </cols>
  <sheetData>
    <row r="1" spans="1:3" ht="18" x14ac:dyDescent="0.25">
      <c r="A1" s="31" t="s">
        <v>16</v>
      </c>
    </row>
    <row r="2" spans="1:3" ht="20.25" customHeight="1" x14ac:dyDescent="0.25">
      <c r="A2" s="26" t="s">
        <v>59</v>
      </c>
      <c r="B2" s="142">
        <f>'RV Load Calc'!F45</f>
        <v>80.058823529411768</v>
      </c>
      <c r="C2" s="27" t="s">
        <v>35</v>
      </c>
    </row>
    <row r="3" spans="1:3" ht="20.25" customHeight="1" x14ac:dyDescent="0.2">
      <c r="A3" s="26" t="s">
        <v>97</v>
      </c>
      <c r="B3" s="142">
        <f>B2*1.25</f>
        <v>100.07352941176471</v>
      </c>
      <c r="C3" s="27" t="s">
        <v>35</v>
      </c>
    </row>
    <row r="4" spans="1:3" ht="20.25" customHeight="1" x14ac:dyDescent="0.25">
      <c r="A4" s="28" t="s">
        <v>43</v>
      </c>
      <c r="B4" s="143">
        <v>6</v>
      </c>
      <c r="C4" s="27" t="s">
        <v>36</v>
      </c>
    </row>
    <row r="5" spans="1:3" ht="20.25" customHeight="1" x14ac:dyDescent="0.2">
      <c r="A5" s="26" t="s">
        <v>167</v>
      </c>
      <c r="B5" s="151">
        <f>B3/B4</f>
        <v>16.678921568627452</v>
      </c>
      <c r="C5" s="152" t="s">
        <v>38</v>
      </c>
    </row>
    <row r="6" spans="1:3" ht="20.25" customHeight="1" x14ac:dyDescent="0.2">
      <c r="A6" s="26" t="s">
        <v>168</v>
      </c>
      <c r="B6" s="144">
        <f>B3*'RV Load Calc'!B21</f>
        <v>1260.9264705882354</v>
      </c>
      <c r="C6" s="27" t="s">
        <v>37</v>
      </c>
    </row>
    <row r="7" spans="1:3" ht="20.25" customHeight="1" x14ac:dyDescent="0.3">
      <c r="A7" s="268" t="s">
        <v>162</v>
      </c>
      <c r="B7" s="262">
        <f>B5*14.4</f>
        <v>240.1764705882353</v>
      </c>
      <c r="C7" s="27" t="s">
        <v>169</v>
      </c>
    </row>
    <row r="8" spans="1:3" ht="20.25" customHeight="1" x14ac:dyDescent="0.3">
      <c r="A8" s="263"/>
      <c r="B8" s="262"/>
    </row>
    <row r="9" spans="1:3" ht="20.25" customHeight="1" x14ac:dyDescent="0.3">
      <c r="A9" s="265" t="s">
        <v>170</v>
      </c>
      <c r="B9" s="262"/>
    </row>
    <row r="10" spans="1:3" ht="20.25" customHeight="1" x14ac:dyDescent="0.25">
      <c r="A10" s="26" t="s">
        <v>171</v>
      </c>
      <c r="B10" s="264"/>
    </row>
    <row r="11" spans="1:3" ht="19.5" customHeight="1" x14ac:dyDescent="0.2"/>
    <row r="12" spans="1:3" ht="69.75" customHeight="1" x14ac:dyDescent="0.2">
      <c r="A12" s="26" t="s">
        <v>163</v>
      </c>
    </row>
    <row r="13" spans="1:3" ht="38.25" customHeight="1" x14ac:dyDescent="0.2">
      <c r="A13" s="26" t="s">
        <v>30</v>
      </c>
    </row>
    <row r="14" spans="1:3" ht="16.5" customHeight="1" x14ac:dyDescent="0.2">
      <c r="A14" s="26"/>
    </row>
    <row r="15" spans="1:3" x14ac:dyDescent="0.2">
      <c r="A15" s="30"/>
    </row>
    <row r="16" spans="1:3" x14ac:dyDescent="0.2">
      <c r="A16" s="30"/>
    </row>
    <row r="17" spans="1:1" x14ac:dyDescent="0.2">
      <c r="A17" s="30"/>
    </row>
    <row r="18" spans="1:1" x14ac:dyDescent="0.2">
      <c r="A18" s="30"/>
    </row>
  </sheetData>
  <sheetProtection password="E640" sheet="1" objects="1" scenarios="1" selectLockedCells="1"/>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showGridLines="0" showRowColHeaders="0" zoomScale="90" zoomScaleNormal="90" workbookViewId="0">
      <selection activeCell="H3" sqref="H3"/>
    </sheetView>
  </sheetViews>
  <sheetFormatPr defaultRowHeight="15" x14ac:dyDescent="0.25"/>
  <cols>
    <col min="1" max="1" width="12.28515625" customWidth="1"/>
    <col min="2" max="3" width="11" customWidth="1"/>
    <col min="4" max="4" width="14.140625" customWidth="1"/>
    <col min="5" max="6" width="11.85546875" customWidth="1"/>
    <col min="8" max="8" width="9.42578125" customWidth="1"/>
    <col min="9" max="9" width="63.7109375" customWidth="1"/>
  </cols>
  <sheetData>
    <row r="2" spans="1:12" ht="20.25" x14ac:dyDescent="0.25">
      <c r="A2" s="29"/>
      <c r="C2" s="65" t="s">
        <v>34</v>
      </c>
      <c r="G2" s="29"/>
      <c r="H2" s="164">
        <v>59</v>
      </c>
      <c r="I2" s="155" t="s">
        <v>130</v>
      </c>
    </row>
    <row r="3" spans="1:12" ht="18" x14ac:dyDescent="0.25">
      <c r="C3" s="29"/>
      <c r="H3" s="62">
        <v>8</v>
      </c>
      <c r="I3" s="63" t="s">
        <v>80</v>
      </c>
      <c r="K3">
        <f>H2*H3</f>
        <v>472</v>
      </c>
      <c r="L3" t="s">
        <v>139</v>
      </c>
    </row>
    <row r="4" spans="1:12" ht="19.5" customHeight="1" x14ac:dyDescent="0.25">
      <c r="C4" s="29"/>
      <c r="H4" s="62">
        <v>50</v>
      </c>
      <c r="I4" s="64" t="s">
        <v>123</v>
      </c>
    </row>
    <row r="5" spans="1:12" ht="15.75" hidden="1" customHeight="1" x14ac:dyDescent="0.25">
      <c r="A5" s="29"/>
      <c r="B5" s="29"/>
      <c r="C5" s="29"/>
      <c r="D5" s="29"/>
      <c r="E5" s="29"/>
      <c r="F5" s="29"/>
      <c r="G5" s="29"/>
    </row>
    <row r="6" spans="1:12" ht="47.25" customHeight="1" x14ac:dyDescent="0.25">
      <c r="A6" s="167" t="s">
        <v>27</v>
      </c>
      <c r="B6" s="168" t="s">
        <v>138</v>
      </c>
      <c r="C6" s="168" t="s">
        <v>137</v>
      </c>
      <c r="D6" s="168" t="s">
        <v>33</v>
      </c>
      <c r="E6" s="169" t="s">
        <v>31</v>
      </c>
      <c r="F6" s="171" t="s">
        <v>129</v>
      </c>
      <c r="G6" s="170" t="s">
        <v>32</v>
      </c>
      <c r="H6" s="173" t="s">
        <v>122</v>
      </c>
    </row>
    <row r="7" spans="1:12" ht="15.75" customHeight="1" x14ac:dyDescent="0.25">
      <c r="A7" s="162">
        <v>41.02</v>
      </c>
      <c r="B7" s="163">
        <v>1.5900000000000001E-2</v>
      </c>
      <c r="C7" s="51">
        <v>26</v>
      </c>
      <c r="D7" s="161">
        <f t="shared" ref="D7:D25" si="0">A7/1000*$H$4</f>
        <v>2.0510000000000002</v>
      </c>
      <c r="E7" s="157">
        <f t="shared" ref="E7:E25" si="1">D7*$H$3</f>
        <v>16.408000000000001</v>
      </c>
      <c r="F7" s="172">
        <f t="shared" ref="F7:F25" si="2">E7/H7</f>
        <v>0.38523666416228403</v>
      </c>
      <c r="G7" s="156">
        <f t="shared" ref="G7:G25" si="3">$H$3*E7</f>
        <v>131.26400000000001</v>
      </c>
      <c r="H7" s="160">
        <f>$H$2-E7</f>
        <v>42.591999999999999</v>
      </c>
    </row>
    <row r="8" spans="1:12" ht="15.75" customHeight="1" x14ac:dyDescent="0.25">
      <c r="A8" s="162">
        <v>25.67</v>
      </c>
      <c r="B8" s="163">
        <v>2.01E-2</v>
      </c>
      <c r="C8" s="51">
        <v>24</v>
      </c>
      <c r="D8" s="161">
        <f t="shared" si="0"/>
        <v>1.2835000000000001</v>
      </c>
      <c r="E8" s="157">
        <f t="shared" si="1"/>
        <v>10.268000000000001</v>
      </c>
      <c r="F8" s="172">
        <f t="shared" si="2"/>
        <v>0.21070343921858328</v>
      </c>
      <c r="G8" s="156">
        <f t="shared" si="3"/>
        <v>82.144000000000005</v>
      </c>
      <c r="H8" s="160">
        <f t="shared" ref="H8:H25" si="4">$H$2-E8</f>
        <v>48.731999999999999</v>
      </c>
    </row>
    <row r="9" spans="1:12" ht="15.75" x14ac:dyDescent="0.25">
      <c r="A9" s="162">
        <v>16.2</v>
      </c>
      <c r="B9" s="163">
        <v>2.53E-2</v>
      </c>
      <c r="C9" s="51">
        <v>22</v>
      </c>
      <c r="D9" s="161">
        <f t="shared" si="0"/>
        <v>0.80999999999999994</v>
      </c>
      <c r="E9" s="157">
        <f t="shared" si="1"/>
        <v>6.4799999999999995</v>
      </c>
      <c r="F9" s="172">
        <f t="shared" si="2"/>
        <v>0.12338156892612337</v>
      </c>
      <c r="G9" s="156">
        <f t="shared" si="3"/>
        <v>51.839999999999996</v>
      </c>
      <c r="H9" s="160">
        <f t="shared" si="4"/>
        <v>52.52</v>
      </c>
    </row>
    <row r="10" spans="1:12" ht="15.75" x14ac:dyDescent="0.25">
      <c r="A10" s="162">
        <v>10.128</v>
      </c>
      <c r="B10" s="163">
        <v>3.2000000000000001E-2</v>
      </c>
      <c r="C10" s="51">
        <v>20</v>
      </c>
      <c r="D10" s="161">
        <f t="shared" si="0"/>
        <v>0.50639999999999996</v>
      </c>
      <c r="E10" s="157">
        <f t="shared" si="1"/>
        <v>4.0511999999999997</v>
      </c>
      <c r="F10" s="172">
        <f t="shared" si="2"/>
        <v>7.3726814780304573E-2</v>
      </c>
      <c r="G10" s="156">
        <f t="shared" si="3"/>
        <v>32.409599999999998</v>
      </c>
      <c r="H10" s="160">
        <f t="shared" si="4"/>
        <v>54.948799999999999</v>
      </c>
    </row>
    <row r="11" spans="1:12" ht="15.75" x14ac:dyDescent="0.25">
      <c r="A11" s="162">
        <v>6.3860000000000001</v>
      </c>
      <c r="B11" s="163">
        <v>4.0300000000000002E-2</v>
      </c>
      <c r="C11" s="51">
        <v>18</v>
      </c>
      <c r="D11" s="161">
        <f t="shared" si="0"/>
        <v>0.31930000000000003</v>
      </c>
      <c r="E11" s="157">
        <f t="shared" si="1"/>
        <v>2.5544000000000002</v>
      </c>
      <c r="F11" s="172">
        <f t="shared" si="2"/>
        <v>4.5254191646470238E-2</v>
      </c>
      <c r="G11" s="156">
        <f t="shared" si="3"/>
        <v>20.435200000000002</v>
      </c>
      <c r="H11" s="160">
        <f t="shared" si="4"/>
        <v>56.445599999999999</v>
      </c>
    </row>
    <row r="12" spans="1:12" ht="15.75" x14ac:dyDescent="0.25">
      <c r="A12" s="162">
        <v>4.0179999999999998</v>
      </c>
      <c r="B12" s="163">
        <v>5.0799999999999998E-2</v>
      </c>
      <c r="C12" s="51">
        <v>16</v>
      </c>
      <c r="D12" s="161">
        <f t="shared" si="0"/>
        <v>0.2009</v>
      </c>
      <c r="E12" s="157">
        <f t="shared" si="1"/>
        <v>1.6072</v>
      </c>
      <c r="F12" s="172">
        <f t="shared" si="2"/>
        <v>2.8003512635731309E-2</v>
      </c>
      <c r="G12" s="156">
        <f t="shared" si="3"/>
        <v>12.8576</v>
      </c>
      <c r="H12" s="160">
        <f t="shared" si="4"/>
        <v>57.392800000000001</v>
      </c>
    </row>
    <row r="13" spans="1:12" ht="15.75" x14ac:dyDescent="0.25">
      <c r="A13" s="162">
        <v>2.524</v>
      </c>
      <c r="B13" s="163">
        <v>6.4100000000000004E-2</v>
      </c>
      <c r="C13" s="51">
        <v>14</v>
      </c>
      <c r="D13" s="161">
        <f t="shared" si="0"/>
        <v>0.12620000000000001</v>
      </c>
      <c r="E13" s="157">
        <f t="shared" si="1"/>
        <v>1.0096000000000001</v>
      </c>
      <c r="F13" s="172">
        <f t="shared" si="2"/>
        <v>1.7409778170179892E-2</v>
      </c>
      <c r="G13" s="156">
        <f t="shared" si="3"/>
        <v>8.0768000000000004</v>
      </c>
      <c r="H13" s="160">
        <f t="shared" si="4"/>
        <v>57.990400000000001</v>
      </c>
    </row>
    <row r="14" spans="1:12" ht="15.75" x14ac:dyDescent="0.25">
      <c r="A14" s="162">
        <v>1.589</v>
      </c>
      <c r="B14" s="163">
        <v>8.0799999999999997E-2</v>
      </c>
      <c r="C14" s="51">
        <v>12</v>
      </c>
      <c r="D14" s="161">
        <f t="shared" si="0"/>
        <v>7.9449999999999993E-2</v>
      </c>
      <c r="E14" s="157">
        <f t="shared" si="1"/>
        <v>0.63559999999999994</v>
      </c>
      <c r="F14" s="172">
        <f t="shared" si="2"/>
        <v>1.08902001905271E-2</v>
      </c>
      <c r="G14" s="156">
        <f t="shared" si="3"/>
        <v>5.0847999999999995</v>
      </c>
      <c r="H14" s="160">
        <f t="shared" si="4"/>
        <v>58.364400000000003</v>
      </c>
    </row>
    <row r="15" spans="1:12" ht="15.75" x14ac:dyDescent="0.25">
      <c r="A15" s="162">
        <v>0.999</v>
      </c>
      <c r="B15" s="163">
        <v>0.1019</v>
      </c>
      <c r="C15" s="51">
        <v>10</v>
      </c>
      <c r="D15" s="161">
        <f t="shared" si="0"/>
        <v>4.9950000000000008E-2</v>
      </c>
      <c r="E15" s="157">
        <f t="shared" si="1"/>
        <v>0.39960000000000007</v>
      </c>
      <c r="F15" s="172">
        <f t="shared" si="2"/>
        <v>6.8190660814601957E-3</v>
      </c>
      <c r="G15" s="156">
        <f t="shared" si="3"/>
        <v>3.1968000000000005</v>
      </c>
      <c r="H15" s="160">
        <f t="shared" si="4"/>
        <v>58.6004</v>
      </c>
    </row>
    <row r="16" spans="1:12" ht="15.75" x14ac:dyDescent="0.25">
      <c r="A16" s="162">
        <v>0.628</v>
      </c>
      <c r="B16" s="163">
        <v>0.1285</v>
      </c>
      <c r="C16" s="51">
        <v>8</v>
      </c>
      <c r="D16" s="161">
        <f t="shared" si="0"/>
        <v>3.1399999999999997E-2</v>
      </c>
      <c r="E16" s="157">
        <f t="shared" si="1"/>
        <v>0.25119999999999998</v>
      </c>
      <c r="F16" s="172">
        <f t="shared" ref="F16" si="5">E16/H16</f>
        <v>4.2758320169943888E-3</v>
      </c>
      <c r="G16" s="156">
        <f t="shared" si="3"/>
        <v>2.0095999999999998</v>
      </c>
      <c r="H16" s="160">
        <f t="shared" si="4"/>
        <v>58.748800000000003</v>
      </c>
    </row>
    <row r="17" spans="1:9" ht="15.75" x14ac:dyDescent="0.25">
      <c r="A17" s="162">
        <v>0.39500000000000002</v>
      </c>
      <c r="B17" s="163">
        <v>0.16200000000000001</v>
      </c>
      <c r="C17" s="51">
        <v>6</v>
      </c>
      <c r="D17" s="161">
        <f t="shared" si="0"/>
        <v>1.975E-2</v>
      </c>
      <c r="E17" s="157">
        <f t="shared" si="1"/>
        <v>0.158</v>
      </c>
      <c r="F17" s="172">
        <f t="shared" si="2"/>
        <v>2.6851568607457257E-3</v>
      </c>
      <c r="G17" s="156">
        <f t="shared" si="3"/>
        <v>1.264</v>
      </c>
      <c r="H17" s="160">
        <f t="shared" si="4"/>
        <v>58.841999999999999</v>
      </c>
    </row>
    <row r="18" spans="1:9" ht="15.75" x14ac:dyDescent="0.25">
      <c r="A18" s="162">
        <v>0.248</v>
      </c>
      <c r="B18" s="163">
        <v>0.20430000000000001</v>
      </c>
      <c r="C18" s="51">
        <v>4</v>
      </c>
      <c r="D18" s="161">
        <f t="shared" si="0"/>
        <v>1.2400000000000001E-2</v>
      </c>
      <c r="E18" s="157">
        <f t="shared" si="1"/>
        <v>9.920000000000001E-2</v>
      </c>
      <c r="F18" s="172">
        <f t="shared" si="2"/>
        <v>1.6841876511015134E-3</v>
      </c>
      <c r="G18" s="156">
        <f t="shared" si="3"/>
        <v>0.79360000000000008</v>
      </c>
      <c r="H18" s="160">
        <f t="shared" si="4"/>
        <v>58.900799999999997</v>
      </c>
    </row>
    <row r="19" spans="1:9" ht="15.75" x14ac:dyDescent="0.25">
      <c r="A19" s="162">
        <v>0.19700000000000001</v>
      </c>
      <c r="B19" s="163">
        <v>0.22939999999999999</v>
      </c>
      <c r="C19" s="51">
        <v>3</v>
      </c>
      <c r="D19" s="161">
        <f t="shared" si="0"/>
        <v>9.8500000000000011E-3</v>
      </c>
      <c r="E19" s="157">
        <f t="shared" si="1"/>
        <v>7.8800000000000009E-2</v>
      </c>
      <c r="F19" s="172">
        <f t="shared" si="2"/>
        <v>1.3373794152189706E-3</v>
      </c>
      <c r="G19" s="156">
        <f t="shared" si="3"/>
        <v>0.63040000000000007</v>
      </c>
      <c r="H19" s="160">
        <f>$H$2-E19</f>
        <v>58.921199999999999</v>
      </c>
    </row>
    <row r="20" spans="1:9" ht="15.75" x14ac:dyDescent="0.25">
      <c r="A20" s="162">
        <v>0.156</v>
      </c>
      <c r="B20" s="163">
        <v>0.2576</v>
      </c>
      <c r="C20" s="51">
        <v>2</v>
      </c>
      <c r="D20" s="161">
        <f t="shared" si="0"/>
        <v>7.7999999999999996E-3</v>
      </c>
      <c r="E20" s="157">
        <f t="shared" si="1"/>
        <v>6.2399999999999997E-2</v>
      </c>
      <c r="F20" s="172">
        <f t="shared" si="2"/>
        <v>1.0587468780540775E-3</v>
      </c>
      <c r="G20" s="156">
        <f t="shared" si="3"/>
        <v>0.49919999999999998</v>
      </c>
      <c r="H20" s="160">
        <f t="shared" si="4"/>
        <v>58.937600000000003</v>
      </c>
    </row>
    <row r="21" spans="1:9" ht="15.75" x14ac:dyDescent="0.25">
      <c r="A21" s="162">
        <v>0.124</v>
      </c>
      <c r="B21" s="163">
        <v>0.2893</v>
      </c>
      <c r="C21" s="51">
        <v>1</v>
      </c>
      <c r="D21" s="161">
        <f t="shared" si="0"/>
        <v>6.2000000000000006E-3</v>
      </c>
      <c r="E21" s="157">
        <f t="shared" si="1"/>
        <v>4.9600000000000005E-2</v>
      </c>
      <c r="F21" s="172">
        <f t="shared" si="2"/>
        <v>8.4138530018456204E-4</v>
      </c>
      <c r="G21" s="156">
        <f t="shared" si="3"/>
        <v>0.39680000000000004</v>
      </c>
      <c r="H21" s="160">
        <f t="shared" si="4"/>
        <v>58.950400000000002</v>
      </c>
    </row>
    <row r="22" spans="1:9" ht="15.75" x14ac:dyDescent="0.25">
      <c r="A22" s="162">
        <v>9.8000000000000004E-2</v>
      </c>
      <c r="B22" s="163">
        <v>0.32490000000000002</v>
      </c>
      <c r="C22" s="51">
        <v>0</v>
      </c>
      <c r="D22" s="161">
        <f t="shared" si="0"/>
        <v>4.9000000000000007E-3</v>
      </c>
      <c r="E22" s="157">
        <f t="shared" si="1"/>
        <v>3.9200000000000006E-2</v>
      </c>
      <c r="F22" s="172">
        <f t="shared" si="2"/>
        <v>6.6484850951818849E-4</v>
      </c>
      <c r="G22" s="156">
        <f t="shared" si="3"/>
        <v>0.31360000000000005</v>
      </c>
      <c r="H22" s="160">
        <f t="shared" si="4"/>
        <v>58.960799999999999</v>
      </c>
    </row>
    <row r="23" spans="1:9" ht="15.75" x14ac:dyDescent="0.25">
      <c r="A23" s="162">
        <v>7.7899999999999997E-2</v>
      </c>
      <c r="B23" s="163">
        <v>0.36480000000000001</v>
      </c>
      <c r="C23" s="52" t="s">
        <v>28</v>
      </c>
      <c r="D23" s="161">
        <f t="shared" si="0"/>
        <v>3.895E-3</v>
      </c>
      <c r="E23" s="157">
        <f t="shared" si="1"/>
        <v>3.116E-2</v>
      </c>
      <c r="F23" s="172">
        <f t="shared" si="2"/>
        <v>5.2841466781439151E-4</v>
      </c>
      <c r="G23" s="156">
        <f t="shared" si="3"/>
        <v>0.24928</v>
      </c>
      <c r="H23" s="160">
        <f t="shared" si="4"/>
        <v>58.96884</v>
      </c>
    </row>
    <row r="24" spans="1:9" ht="15.75" x14ac:dyDescent="0.25">
      <c r="A24" s="162">
        <v>6.1800000000000001E-2</v>
      </c>
      <c r="B24" s="163">
        <v>0.40960000000000002</v>
      </c>
      <c r="C24" s="52" t="s">
        <v>81</v>
      </c>
      <c r="D24" s="161">
        <f t="shared" si="0"/>
        <v>3.0899999999999999E-3</v>
      </c>
      <c r="E24" s="157">
        <f t="shared" si="1"/>
        <v>2.4719999999999999E-2</v>
      </c>
      <c r="F24" s="172">
        <f t="shared" si="2"/>
        <v>4.1915867122631719E-4</v>
      </c>
      <c r="G24" s="156">
        <f t="shared" si="3"/>
        <v>0.19775999999999999</v>
      </c>
      <c r="H24" s="160">
        <f t="shared" si="4"/>
        <v>58.975279999999998</v>
      </c>
    </row>
    <row r="25" spans="1:9" ht="15.75" x14ac:dyDescent="0.25">
      <c r="A25" s="162">
        <v>4.9000000000000002E-2</v>
      </c>
      <c r="B25" s="163">
        <v>0.46</v>
      </c>
      <c r="C25" s="52" t="s">
        <v>29</v>
      </c>
      <c r="D25" s="161">
        <f t="shared" si="0"/>
        <v>2.4500000000000004E-3</v>
      </c>
      <c r="E25" s="157">
        <f t="shared" si="1"/>
        <v>1.9600000000000003E-2</v>
      </c>
      <c r="F25" s="172">
        <f t="shared" si="2"/>
        <v>3.3231378559657107E-4</v>
      </c>
      <c r="G25" s="156">
        <f t="shared" si="3"/>
        <v>0.15680000000000002</v>
      </c>
      <c r="H25" s="160">
        <f t="shared" si="4"/>
        <v>58.980400000000003</v>
      </c>
    </row>
    <row r="26" spans="1:9" x14ac:dyDescent="0.25">
      <c r="B26" s="59"/>
      <c r="D26" s="60"/>
      <c r="E26" s="61"/>
      <c r="F26" s="61"/>
    </row>
    <row r="27" spans="1:9" x14ac:dyDescent="0.25">
      <c r="B27" s="59"/>
      <c r="D27" s="60"/>
      <c r="E27" s="61"/>
      <c r="F27" s="61"/>
      <c r="I27" s="158"/>
    </row>
    <row r="28" spans="1:9" x14ac:dyDescent="0.25">
      <c r="I28" s="158"/>
    </row>
    <row r="29" spans="1:9" x14ac:dyDescent="0.25">
      <c r="I29" s="159"/>
    </row>
    <row r="30" spans="1:9" x14ac:dyDescent="0.25">
      <c r="I30" s="159"/>
    </row>
    <row r="31" spans="1:9" x14ac:dyDescent="0.25">
      <c r="I31" s="159"/>
    </row>
    <row r="32" spans="1:9" x14ac:dyDescent="0.25">
      <c r="I32" s="159"/>
    </row>
  </sheetData>
  <sheetProtection password="E640" sheet="1" objects="1" scenarios="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9"/>
  <sheetViews>
    <sheetView showGridLines="0" showRowColHeaders="0" zoomScale="90" zoomScaleNormal="90" workbookViewId="0">
      <selection activeCell="C4" sqref="C4"/>
    </sheetView>
  </sheetViews>
  <sheetFormatPr defaultRowHeight="15" x14ac:dyDescent="0.25"/>
  <cols>
    <col min="1" max="1" width="1" customWidth="1"/>
    <col min="2" max="2" width="23.85546875" customWidth="1"/>
    <col min="3" max="3" width="9" customWidth="1"/>
    <col min="4" max="4" width="14.140625" customWidth="1"/>
    <col min="5" max="5" width="13.7109375" customWidth="1"/>
    <col min="7" max="7" width="17.85546875" customWidth="1"/>
    <col min="8" max="8" width="7.42578125" customWidth="1"/>
    <col min="9" max="9" width="5.28515625" customWidth="1"/>
    <col min="10" max="10" width="7.140625" customWidth="1"/>
    <col min="11" max="11" width="7" customWidth="1"/>
    <col min="12" max="12" width="53.85546875" customWidth="1"/>
    <col min="13" max="13" width="6.42578125" customWidth="1"/>
    <col min="14" max="14" width="5.85546875" customWidth="1"/>
    <col min="254" max="254" width="1" customWidth="1"/>
    <col min="255" max="255" width="23.85546875" customWidth="1"/>
    <col min="256" max="256" width="7.85546875" customWidth="1"/>
    <col min="257" max="257" width="14.140625" customWidth="1"/>
    <col min="258" max="258" width="3.42578125" customWidth="1"/>
    <col min="259" max="259" width="0" hidden="1" customWidth="1"/>
    <col min="260" max="260" width="5.5703125" customWidth="1"/>
    <col min="261" max="261" width="11" customWidth="1"/>
    <col min="510" max="510" width="1" customWidth="1"/>
    <col min="511" max="511" width="23.85546875" customWidth="1"/>
    <col min="512" max="512" width="7.85546875" customWidth="1"/>
    <col min="513" max="513" width="14.140625" customWidth="1"/>
    <col min="514" max="514" width="3.42578125" customWidth="1"/>
    <col min="515" max="515" width="0" hidden="1" customWidth="1"/>
    <col min="516" max="516" width="5.5703125" customWidth="1"/>
    <col min="517" max="517" width="11" customWidth="1"/>
    <col min="766" max="766" width="1" customWidth="1"/>
    <col min="767" max="767" width="23.85546875" customWidth="1"/>
    <col min="768" max="768" width="7.85546875" customWidth="1"/>
    <col min="769" max="769" width="14.140625" customWidth="1"/>
    <col min="770" max="770" width="3.42578125" customWidth="1"/>
    <col min="771" max="771" width="0" hidden="1" customWidth="1"/>
    <col min="772" max="772" width="5.5703125" customWidth="1"/>
    <col min="773" max="773" width="11" customWidth="1"/>
    <col min="1022" max="1022" width="1" customWidth="1"/>
    <col min="1023" max="1023" width="23.85546875" customWidth="1"/>
    <col min="1024" max="1024" width="7.85546875" customWidth="1"/>
    <col min="1025" max="1025" width="14.140625" customWidth="1"/>
    <col min="1026" max="1026" width="3.42578125" customWidth="1"/>
    <col min="1027" max="1027" width="0" hidden="1" customWidth="1"/>
    <col min="1028" max="1028" width="5.5703125" customWidth="1"/>
    <col min="1029" max="1029" width="11" customWidth="1"/>
    <col min="1278" max="1278" width="1" customWidth="1"/>
    <col min="1279" max="1279" width="23.85546875" customWidth="1"/>
    <col min="1280" max="1280" width="7.85546875" customWidth="1"/>
    <col min="1281" max="1281" width="14.140625" customWidth="1"/>
    <col min="1282" max="1282" width="3.42578125" customWidth="1"/>
    <col min="1283" max="1283" width="0" hidden="1" customWidth="1"/>
    <col min="1284" max="1284" width="5.5703125" customWidth="1"/>
    <col min="1285" max="1285" width="11" customWidth="1"/>
    <col min="1534" max="1534" width="1" customWidth="1"/>
    <col min="1535" max="1535" width="23.85546875" customWidth="1"/>
    <col min="1536" max="1536" width="7.85546875" customWidth="1"/>
    <col min="1537" max="1537" width="14.140625" customWidth="1"/>
    <col min="1538" max="1538" width="3.42578125" customWidth="1"/>
    <col min="1539" max="1539" width="0" hidden="1" customWidth="1"/>
    <col min="1540" max="1540" width="5.5703125" customWidth="1"/>
    <col min="1541" max="1541" width="11" customWidth="1"/>
    <col min="1790" max="1790" width="1" customWidth="1"/>
    <col min="1791" max="1791" width="23.85546875" customWidth="1"/>
    <col min="1792" max="1792" width="7.85546875" customWidth="1"/>
    <col min="1793" max="1793" width="14.140625" customWidth="1"/>
    <col min="1794" max="1794" width="3.42578125" customWidth="1"/>
    <col min="1795" max="1795" width="0" hidden="1" customWidth="1"/>
    <col min="1796" max="1796" width="5.5703125" customWidth="1"/>
    <col min="1797" max="1797" width="11" customWidth="1"/>
    <col min="2046" max="2046" width="1" customWidth="1"/>
    <col min="2047" max="2047" width="23.85546875" customWidth="1"/>
    <col min="2048" max="2048" width="7.85546875" customWidth="1"/>
    <col min="2049" max="2049" width="14.140625" customWidth="1"/>
    <col min="2050" max="2050" width="3.42578125" customWidth="1"/>
    <col min="2051" max="2051" width="0" hidden="1" customWidth="1"/>
    <col min="2052" max="2052" width="5.5703125" customWidth="1"/>
    <col min="2053" max="2053" width="11" customWidth="1"/>
    <col min="2302" max="2302" width="1" customWidth="1"/>
    <col min="2303" max="2303" width="23.85546875" customWidth="1"/>
    <col min="2304" max="2304" width="7.85546875" customWidth="1"/>
    <col min="2305" max="2305" width="14.140625" customWidth="1"/>
    <col min="2306" max="2306" width="3.42578125" customWidth="1"/>
    <col min="2307" max="2307" width="0" hidden="1" customWidth="1"/>
    <col min="2308" max="2308" width="5.5703125" customWidth="1"/>
    <col min="2309" max="2309" width="11" customWidth="1"/>
    <col min="2558" max="2558" width="1" customWidth="1"/>
    <col min="2559" max="2559" width="23.85546875" customWidth="1"/>
    <col min="2560" max="2560" width="7.85546875" customWidth="1"/>
    <col min="2561" max="2561" width="14.140625" customWidth="1"/>
    <col min="2562" max="2562" width="3.42578125" customWidth="1"/>
    <col min="2563" max="2563" width="0" hidden="1" customWidth="1"/>
    <col min="2564" max="2564" width="5.5703125" customWidth="1"/>
    <col min="2565" max="2565" width="11" customWidth="1"/>
    <col min="2814" max="2814" width="1" customWidth="1"/>
    <col min="2815" max="2815" width="23.85546875" customWidth="1"/>
    <col min="2816" max="2816" width="7.85546875" customWidth="1"/>
    <col min="2817" max="2817" width="14.140625" customWidth="1"/>
    <col min="2818" max="2818" width="3.42578125" customWidth="1"/>
    <col min="2819" max="2819" width="0" hidden="1" customWidth="1"/>
    <col min="2820" max="2820" width="5.5703125" customWidth="1"/>
    <col min="2821" max="2821" width="11" customWidth="1"/>
    <col min="3070" max="3070" width="1" customWidth="1"/>
    <col min="3071" max="3071" width="23.85546875" customWidth="1"/>
    <col min="3072" max="3072" width="7.85546875" customWidth="1"/>
    <col min="3073" max="3073" width="14.140625" customWidth="1"/>
    <col min="3074" max="3074" width="3.42578125" customWidth="1"/>
    <col min="3075" max="3075" width="0" hidden="1" customWidth="1"/>
    <col min="3076" max="3076" width="5.5703125" customWidth="1"/>
    <col min="3077" max="3077" width="11" customWidth="1"/>
    <col min="3326" max="3326" width="1" customWidth="1"/>
    <col min="3327" max="3327" width="23.85546875" customWidth="1"/>
    <col min="3328" max="3328" width="7.85546875" customWidth="1"/>
    <col min="3329" max="3329" width="14.140625" customWidth="1"/>
    <col min="3330" max="3330" width="3.42578125" customWidth="1"/>
    <col min="3331" max="3331" width="0" hidden="1" customWidth="1"/>
    <col min="3332" max="3332" width="5.5703125" customWidth="1"/>
    <col min="3333" max="3333" width="11" customWidth="1"/>
    <col min="3582" max="3582" width="1" customWidth="1"/>
    <col min="3583" max="3583" width="23.85546875" customWidth="1"/>
    <col min="3584" max="3584" width="7.85546875" customWidth="1"/>
    <col min="3585" max="3585" width="14.140625" customWidth="1"/>
    <col min="3586" max="3586" width="3.42578125" customWidth="1"/>
    <col min="3587" max="3587" width="0" hidden="1" customWidth="1"/>
    <col min="3588" max="3588" width="5.5703125" customWidth="1"/>
    <col min="3589" max="3589" width="11" customWidth="1"/>
    <col min="3838" max="3838" width="1" customWidth="1"/>
    <col min="3839" max="3839" width="23.85546875" customWidth="1"/>
    <col min="3840" max="3840" width="7.85546875" customWidth="1"/>
    <col min="3841" max="3841" width="14.140625" customWidth="1"/>
    <col min="3842" max="3842" width="3.42578125" customWidth="1"/>
    <col min="3843" max="3843" width="0" hidden="1" customWidth="1"/>
    <col min="3844" max="3844" width="5.5703125" customWidth="1"/>
    <col min="3845" max="3845" width="11" customWidth="1"/>
    <col min="4094" max="4094" width="1" customWidth="1"/>
    <col min="4095" max="4095" width="23.85546875" customWidth="1"/>
    <col min="4096" max="4096" width="7.85546875" customWidth="1"/>
    <col min="4097" max="4097" width="14.140625" customWidth="1"/>
    <col min="4098" max="4098" width="3.42578125" customWidth="1"/>
    <col min="4099" max="4099" width="0" hidden="1" customWidth="1"/>
    <col min="4100" max="4100" width="5.5703125" customWidth="1"/>
    <col min="4101" max="4101" width="11" customWidth="1"/>
    <col min="4350" max="4350" width="1" customWidth="1"/>
    <col min="4351" max="4351" width="23.85546875" customWidth="1"/>
    <col min="4352" max="4352" width="7.85546875" customWidth="1"/>
    <col min="4353" max="4353" width="14.140625" customWidth="1"/>
    <col min="4354" max="4354" width="3.42578125" customWidth="1"/>
    <col min="4355" max="4355" width="0" hidden="1" customWidth="1"/>
    <col min="4356" max="4356" width="5.5703125" customWidth="1"/>
    <col min="4357" max="4357" width="11" customWidth="1"/>
    <col min="4606" max="4606" width="1" customWidth="1"/>
    <col min="4607" max="4607" width="23.85546875" customWidth="1"/>
    <col min="4608" max="4608" width="7.85546875" customWidth="1"/>
    <col min="4609" max="4609" width="14.140625" customWidth="1"/>
    <col min="4610" max="4610" width="3.42578125" customWidth="1"/>
    <col min="4611" max="4611" width="0" hidden="1" customWidth="1"/>
    <col min="4612" max="4612" width="5.5703125" customWidth="1"/>
    <col min="4613" max="4613" width="11" customWidth="1"/>
    <col min="4862" max="4862" width="1" customWidth="1"/>
    <col min="4863" max="4863" width="23.85546875" customWidth="1"/>
    <col min="4864" max="4864" width="7.85546875" customWidth="1"/>
    <col min="4865" max="4865" width="14.140625" customWidth="1"/>
    <col min="4866" max="4866" width="3.42578125" customWidth="1"/>
    <col min="4867" max="4867" width="0" hidden="1" customWidth="1"/>
    <col min="4868" max="4868" width="5.5703125" customWidth="1"/>
    <col min="4869" max="4869" width="11" customWidth="1"/>
    <col min="5118" max="5118" width="1" customWidth="1"/>
    <col min="5119" max="5119" width="23.85546875" customWidth="1"/>
    <col min="5120" max="5120" width="7.85546875" customWidth="1"/>
    <col min="5121" max="5121" width="14.140625" customWidth="1"/>
    <col min="5122" max="5122" width="3.42578125" customWidth="1"/>
    <col min="5123" max="5123" width="0" hidden="1" customWidth="1"/>
    <col min="5124" max="5124" width="5.5703125" customWidth="1"/>
    <col min="5125" max="5125" width="11" customWidth="1"/>
    <col min="5374" max="5374" width="1" customWidth="1"/>
    <col min="5375" max="5375" width="23.85546875" customWidth="1"/>
    <col min="5376" max="5376" width="7.85546875" customWidth="1"/>
    <col min="5377" max="5377" width="14.140625" customWidth="1"/>
    <col min="5378" max="5378" width="3.42578125" customWidth="1"/>
    <col min="5379" max="5379" width="0" hidden="1" customWidth="1"/>
    <col min="5380" max="5380" width="5.5703125" customWidth="1"/>
    <col min="5381" max="5381" width="11" customWidth="1"/>
    <col min="5630" max="5630" width="1" customWidth="1"/>
    <col min="5631" max="5631" width="23.85546875" customWidth="1"/>
    <col min="5632" max="5632" width="7.85546875" customWidth="1"/>
    <col min="5633" max="5633" width="14.140625" customWidth="1"/>
    <col min="5634" max="5634" width="3.42578125" customWidth="1"/>
    <col min="5635" max="5635" width="0" hidden="1" customWidth="1"/>
    <col min="5636" max="5636" width="5.5703125" customWidth="1"/>
    <col min="5637" max="5637" width="11" customWidth="1"/>
    <col min="5886" max="5886" width="1" customWidth="1"/>
    <col min="5887" max="5887" width="23.85546875" customWidth="1"/>
    <col min="5888" max="5888" width="7.85546875" customWidth="1"/>
    <col min="5889" max="5889" width="14.140625" customWidth="1"/>
    <col min="5890" max="5890" width="3.42578125" customWidth="1"/>
    <col min="5891" max="5891" width="0" hidden="1" customWidth="1"/>
    <col min="5892" max="5892" width="5.5703125" customWidth="1"/>
    <col min="5893" max="5893" width="11" customWidth="1"/>
    <col min="6142" max="6142" width="1" customWidth="1"/>
    <col min="6143" max="6143" width="23.85546875" customWidth="1"/>
    <col min="6144" max="6144" width="7.85546875" customWidth="1"/>
    <col min="6145" max="6145" width="14.140625" customWidth="1"/>
    <col min="6146" max="6146" width="3.42578125" customWidth="1"/>
    <col min="6147" max="6147" width="0" hidden="1" customWidth="1"/>
    <col min="6148" max="6148" width="5.5703125" customWidth="1"/>
    <col min="6149" max="6149" width="11" customWidth="1"/>
    <col min="6398" max="6398" width="1" customWidth="1"/>
    <col min="6399" max="6399" width="23.85546875" customWidth="1"/>
    <col min="6400" max="6400" width="7.85546875" customWidth="1"/>
    <col min="6401" max="6401" width="14.140625" customWidth="1"/>
    <col min="6402" max="6402" width="3.42578125" customWidth="1"/>
    <col min="6403" max="6403" width="0" hidden="1" customWidth="1"/>
    <col min="6404" max="6404" width="5.5703125" customWidth="1"/>
    <col min="6405" max="6405" width="11" customWidth="1"/>
    <col min="6654" max="6654" width="1" customWidth="1"/>
    <col min="6655" max="6655" width="23.85546875" customWidth="1"/>
    <col min="6656" max="6656" width="7.85546875" customWidth="1"/>
    <col min="6657" max="6657" width="14.140625" customWidth="1"/>
    <col min="6658" max="6658" width="3.42578125" customWidth="1"/>
    <col min="6659" max="6659" width="0" hidden="1" customWidth="1"/>
    <col min="6660" max="6660" width="5.5703125" customWidth="1"/>
    <col min="6661" max="6661" width="11" customWidth="1"/>
    <col min="6910" max="6910" width="1" customWidth="1"/>
    <col min="6911" max="6911" width="23.85546875" customWidth="1"/>
    <col min="6912" max="6912" width="7.85546875" customWidth="1"/>
    <col min="6913" max="6913" width="14.140625" customWidth="1"/>
    <col min="6914" max="6914" width="3.42578125" customWidth="1"/>
    <col min="6915" max="6915" width="0" hidden="1" customWidth="1"/>
    <col min="6916" max="6916" width="5.5703125" customWidth="1"/>
    <col min="6917" max="6917" width="11" customWidth="1"/>
    <col min="7166" max="7166" width="1" customWidth="1"/>
    <col min="7167" max="7167" width="23.85546875" customWidth="1"/>
    <col min="7168" max="7168" width="7.85546875" customWidth="1"/>
    <col min="7169" max="7169" width="14.140625" customWidth="1"/>
    <col min="7170" max="7170" width="3.42578125" customWidth="1"/>
    <col min="7171" max="7171" width="0" hidden="1" customWidth="1"/>
    <col min="7172" max="7172" width="5.5703125" customWidth="1"/>
    <col min="7173" max="7173" width="11" customWidth="1"/>
    <col min="7422" max="7422" width="1" customWidth="1"/>
    <col min="7423" max="7423" width="23.85546875" customWidth="1"/>
    <col min="7424" max="7424" width="7.85546875" customWidth="1"/>
    <col min="7425" max="7425" width="14.140625" customWidth="1"/>
    <col min="7426" max="7426" width="3.42578125" customWidth="1"/>
    <col min="7427" max="7427" width="0" hidden="1" customWidth="1"/>
    <col min="7428" max="7428" width="5.5703125" customWidth="1"/>
    <col min="7429" max="7429" width="11" customWidth="1"/>
    <col min="7678" max="7678" width="1" customWidth="1"/>
    <col min="7679" max="7679" width="23.85546875" customWidth="1"/>
    <col min="7680" max="7680" width="7.85546875" customWidth="1"/>
    <col min="7681" max="7681" width="14.140625" customWidth="1"/>
    <col min="7682" max="7682" width="3.42578125" customWidth="1"/>
    <col min="7683" max="7683" width="0" hidden="1" customWidth="1"/>
    <col min="7684" max="7684" width="5.5703125" customWidth="1"/>
    <col min="7685" max="7685" width="11" customWidth="1"/>
    <col min="7934" max="7934" width="1" customWidth="1"/>
    <col min="7935" max="7935" width="23.85546875" customWidth="1"/>
    <col min="7936" max="7936" width="7.85546875" customWidth="1"/>
    <col min="7937" max="7937" width="14.140625" customWidth="1"/>
    <col min="7938" max="7938" width="3.42578125" customWidth="1"/>
    <col min="7939" max="7939" width="0" hidden="1" customWidth="1"/>
    <col min="7940" max="7940" width="5.5703125" customWidth="1"/>
    <col min="7941" max="7941" width="11" customWidth="1"/>
    <col min="8190" max="8190" width="1" customWidth="1"/>
    <col min="8191" max="8191" width="23.85546875" customWidth="1"/>
    <col min="8192" max="8192" width="7.85546875" customWidth="1"/>
    <col min="8193" max="8193" width="14.140625" customWidth="1"/>
    <col min="8194" max="8194" width="3.42578125" customWidth="1"/>
    <col min="8195" max="8195" width="0" hidden="1" customWidth="1"/>
    <col min="8196" max="8196" width="5.5703125" customWidth="1"/>
    <col min="8197" max="8197" width="11" customWidth="1"/>
    <col min="8446" max="8446" width="1" customWidth="1"/>
    <col min="8447" max="8447" width="23.85546875" customWidth="1"/>
    <col min="8448" max="8448" width="7.85546875" customWidth="1"/>
    <col min="8449" max="8449" width="14.140625" customWidth="1"/>
    <col min="8450" max="8450" width="3.42578125" customWidth="1"/>
    <col min="8451" max="8451" width="0" hidden="1" customWidth="1"/>
    <col min="8452" max="8452" width="5.5703125" customWidth="1"/>
    <col min="8453" max="8453" width="11" customWidth="1"/>
    <col min="8702" max="8702" width="1" customWidth="1"/>
    <col min="8703" max="8703" width="23.85546875" customWidth="1"/>
    <col min="8704" max="8704" width="7.85546875" customWidth="1"/>
    <col min="8705" max="8705" width="14.140625" customWidth="1"/>
    <col min="8706" max="8706" width="3.42578125" customWidth="1"/>
    <col min="8707" max="8707" width="0" hidden="1" customWidth="1"/>
    <col min="8708" max="8708" width="5.5703125" customWidth="1"/>
    <col min="8709" max="8709" width="11" customWidth="1"/>
    <col min="8958" max="8958" width="1" customWidth="1"/>
    <col min="8959" max="8959" width="23.85546875" customWidth="1"/>
    <col min="8960" max="8960" width="7.85546875" customWidth="1"/>
    <col min="8961" max="8961" width="14.140625" customWidth="1"/>
    <col min="8962" max="8962" width="3.42578125" customWidth="1"/>
    <col min="8963" max="8963" width="0" hidden="1" customWidth="1"/>
    <col min="8964" max="8964" width="5.5703125" customWidth="1"/>
    <col min="8965" max="8965" width="11" customWidth="1"/>
    <col min="9214" max="9214" width="1" customWidth="1"/>
    <col min="9215" max="9215" width="23.85546875" customWidth="1"/>
    <col min="9216" max="9216" width="7.85546875" customWidth="1"/>
    <col min="9217" max="9217" width="14.140625" customWidth="1"/>
    <col min="9218" max="9218" width="3.42578125" customWidth="1"/>
    <col min="9219" max="9219" width="0" hidden="1" customWidth="1"/>
    <col min="9220" max="9220" width="5.5703125" customWidth="1"/>
    <col min="9221" max="9221" width="11" customWidth="1"/>
    <col min="9470" max="9470" width="1" customWidth="1"/>
    <col min="9471" max="9471" width="23.85546875" customWidth="1"/>
    <col min="9472" max="9472" width="7.85546875" customWidth="1"/>
    <col min="9473" max="9473" width="14.140625" customWidth="1"/>
    <col min="9474" max="9474" width="3.42578125" customWidth="1"/>
    <col min="9475" max="9475" width="0" hidden="1" customWidth="1"/>
    <col min="9476" max="9476" width="5.5703125" customWidth="1"/>
    <col min="9477" max="9477" width="11" customWidth="1"/>
    <col min="9726" max="9726" width="1" customWidth="1"/>
    <col min="9727" max="9727" width="23.85546875" customWidth="1"/>
    <col min="9728" max="9728" width="7.85546875" customWidth="1"/>
    <col min="9729" max="9729" width="14.140625" customWidth="1"/>
    <col min="9730" max="9730" width="3.42578125" customWidth="1"/>
    <col min="9731" max="9731" width="0" hidden="1" customWidth="1"/>
    <col min="9732" max="9732" width="5.5703125" customWidth="1"/>
    <col min="9733" max="9733" width="11" customWidth="1"/>
    <col min="9982" max="9982" width="1" customWidth="1"/>
    <col min="9983" max="9983" width="23.85546875" customWidth="1"/>
    <col min="9984" max="9984" width="7.85546875" customWidth="1"/>
    <col min="9985" max="9985" width="14.140625" customWidth="1"/>
    <col min="9986" max="9986" width="3.42578125" customWidth="1"/>
    <col min="9987" max="9987" width="0" hidden="1" customWidth="1"/>
    <col min="9988" max="9988" width="5.5703125" customWidth="1"/>
    <col min="9989" max="9989" width="11" customWidth="1"/>
    <col min="10238" max="10238" width="1" customWidth="1"/>
    <col min="10239" max="10239" width="23.85546875" customWidth="1"/>
    <col min="10240" max="10240" width="7.85546875" customWidth="1"/>
    <col min="10241" max="10241" width="14.140625" customWidth="1"/>
    <col min="10242" max="10242" width="3.42578125" customWidth="1"/>
    <col min="10243" max="10243" width="0" hidden="1" customWidth="1"/>
    <col min="10244" max="10244" width="5.5703125" customWidth="1"/>
    <col min="10245" max="10245" width="11" customWidth="1"/>
    <col min="10494" max="10494" width="1" customWidth="1"/>
    <col min="10495" max="10495" width="23.85546875" customWidth="1"/>
    <col min="10496" max="10496" width="7.85546875" customWidth="1"/>
    <col min="10497" max="10497" width="14.140625" customWidth="1"/>
    <col min="10498" max="10498" width="3.42578125" customWidth="1"/>
    <col min="10499" max="10499" width="0" hidden="1" customWidth="1"/>
    <col min="10500" max="10500" width="5.5703125" customWidth="1"/>
    <col min="10501" max="10501" width="11" customWidth="1"/>
    <col min="10750" max="10750" width="1" customWidth="1"/>
    <col min="10751" max="10751" width="23.85546875" customWidth="1"/>
    <col min="10752" max="10752" width="7.85546875" customWidth="1"/>
    <col min="10753" max="10753" width="14.140625" customWidth="1"/>
    <col min="10754" max="10754" width="3.42578125" customWidth="1"/>
    <col min="10755" max="10755" width="0" hidden="1" customWidth="1"/>
    <col min="10756" max="10756" width="5.5703125" customWidth="1"/>
    <col min="10757" max="10757" width="11" customWidth="1"/>
    <col min="11006" max="11006" width="1" customWidth="1"/>
    <col min="11007" max="11007" width="23.85546875" customWidth="1"/>
    <col min="11008" max="11008" width="7.85546875" customWidth="1"/>
    <col min="11009" max="11009" width="14.140625" customWidth="1"/>
    <col min="11010" max="11010" width="3.42578125" customWidth="1"/>
    <col min="11011" max="11011" width="0" hidden="1" customWidth="1"/>
    <col min="11012" max="11012" width="5.5703125" customWidth="1"/>
    <col min="11013" max="11013" width="11" customWidth="1"/>
    <col min="11262" max="11262" width="1" customWidth="1"/>
    <col min="11263" max="11263" width="23.85546875" customWidth="1"/>
    <col min="11264" max="11264" width="7.85546875" customWidth="1"/>
    <col min="11265" max="11265" width="14.140625" customWidth="1"/>
    <col min="11266" max="11266" width="3.42578125" customWidth="1"/>
    <col min="11267" max="11267" width="0" hidden="1" customWidth="1"/>
    <col min="11268" max="11268" width="5.5703125" customWidth="1"/>
    <col min="11269" max="11269" width="11" customWidth="1"/>
    <col min="11518" max="11518" width="1" customWidth="1"/>
    <col min="11519" max="11519" width="23.85546875" customWidth="1"/>
    <col min="11520" max="11520" width="7.85546875" customWidth="1"/>
    <col min="11521" max="11521" width="14.140625" customWidth="1"/>
    <col min="11522" max="11522" width="3.42578125" customWidth="1"/>
    <col min="11523" max="11523" width="0" hidden="1" customWidth="1"/>
    <col min="11524" max="11524" width="5.5703125" customWidth="1"/>
    <col min="11525" max="11525" width="11" customWidth="1"/>
    <col min="11774" max="11774" width="1" customWidth="1"/>
    <col min="11775" max="11775" width="23.85546875" customWidth="1"/>
    <col min="11776" max="11776" width="7.85546875" customWidth="1"/>
    <col min="11777" max="11777" width="14.140625" customWidth="1"/>
    <col min="11778" max="11778" width="3.42578125" customWidth="1"/>
    <col min="11779" max="11779" width="0" hidden="1" customWidth="1"/>
    <col min="11780" max="11780" width="5.5703125" customWidth="1"/>
    <col min="11781" max="11781" width="11" customWidth="1"/>
    <col min="12030" max="12030" width="1" customWidth="1"/>
    <col min="12031" max="12031" width="23.85546875" customWidth="1"/>
    <col min="12032" max="12032" width="7.85546875" customWidth="1"/>
    <col min="12033" max="12033" width="14.140625" customWidth="1"/>
    <col min="12034" max="12034" width="3.42578125" customWidth="1"/>
    <col min="12035" max="12035" width="0" hidden="1" customWidth="1"/>
    <col min="12036" max="12036" width="5.5703125" customWidth="1"/>
    <col min="12037" max="12037" width="11" customWidth="1"/>
    <col min="12286" max="12286" width="1" customWidth="1"/>
    <col min="12287" max="12287" width="23.85546875" customWidth="1"/>
    <col min="12288" max="12288" width="7.85546875" customWidth="1"/>
    <col min="12289" max="12289" width="14.140625" customWidth="1"/>
    <col min="12290" max="12290" width="3.42578125" customWidth="1"/>
    <col min="12291" max="12291" width="0" hidden="1" customWidth="1"/>
    <col min="12292" max="12292" width="5.5703125" customWidth="1"/>
    <col min="12293" max="12293" width="11" customWidth="1"/>
    <col min="12542" max="12542" width="1" customWidth="1"/>
    <col min="12543" max="12543" width="23.85546875" customWidth="1"/>
    <col min="12544" max="12544" width="7.85546875" customWidth="1"/>
    <col min="12545" max="12545" width="14.140625" customWidth="1"/>
    <col min="12546" max="12546" width="3.42578125" customWidth="1"/>
    <col min="12547" max="12547" width="0" hidden="1" customWidth="1"/>
    <col min="12548" max="12548" width="5.5703125" customWidth="1"/>
    <col min="12549" max="12549" width="11" customWidth="1"/>
    <col min="12798" max="12798" width="1" customWidth="1"/>
    <col min="12799" max="12799" width="23.85546875" customWidth="1"/>
    <col min="12800" max="12800" width="7.85546875" customWidth="1"/>
    <col min="12801" max="12801" width="14.140625" customWidth="1"/>
    <col min="12802" max="12802" width="3.42578125" customWidth="1"/>
    <col min="12803" max="12803" width="0" hidden="1" customWidth="1"/>
    <col min="12804" max="12804" width="5.5703125" customWidth="1"/>
    <col min="12805" max="12805" width="11" customWidth="1"/>
    <col min="13054" max="13054" width="1" customWidth="1"/>
    <col min="13055" max="13055" width="23.85546875" customWidth="1"/>
    <col min="13056" max="13056" width="7.85546875" customWidth="1"/>
    <col min="13057" max="13057" width="14.140625" customWidth="1"/>
    <col min="13058" max="13058" width="3.42578125" customWidth="1"/>
    <col min="13059" max="13059" width="0" hidden="1" customWidth="1"/>
    <col min="13060" max="13060" width="5.5703125" customWidth="1"/>
    <col min="13061" max="13061" width="11" customWidth="1"/>
    <col min="13310" max="13310" width="1" customWidth="1"/>
    <col min="13311" max="13311" width="23.85546875" customWidth="1"/>
    <col min="13312" max="13312" width="7.85546875" customWidth="1"/>
    <col min="13313" max="13313" width="14.140625" customWidth="1"/>
    <col min="13314" max="13314" width="3.42578125" customWidth="1"/>
    <col min="13315" max="13315" width="0" hidden="1" customWidth="1"/>
    <col min="13316" max="13316" width="5.5703125" customWidth="1"/>
    <col min="13317" max="13317" width="11" customWidth="1"/>
    <col min="13566" max="13566" width="1" customWidth="1"/>
    <col min="13567" max="13567" width="23.85546875" customWidth="1"/>
    <col min="13568" max="13568" width="7.85546875" customWidth="1"/>
    <col min="13569" max="13569" width="14.140625" customWidth="1"/>
    <col min="13570" max="13570" width="3.42578125" customWidth="1"/>
    <col min="13571" max="13571" width="0" hidden="1" customWidth="1"/>
    <col min="13572" max="13572" width="5.5703125" customWidth="1"/>
    <col min="13573" max="13573" width="11" customWidth="1"/>
    <col min="13822" max="13822" width="1" customWidth="1"/>
    <col min="13823" max="13823" width="23.85546875" customWidth="1"/>
    <col min="13824" max="13824" width="7.85546875" customWidth="1"/>
    <col min="13825" max="13825" width="14.140625" customWidth="1"/>
    <col min="13826" max="13826" width="3.42578125" customWidth="1"/>
    <col min="13827" max="13827" width="0" hidden="1" customWidth="1"/>
    <col min="13828" max="13828" width="5.5703125" customWidth="1"/>
    <col min="13829" max="13829" width="11" customWidth="1"/>
    <col min="14078" max="14078" width="1" customWidth="1"/>
    <col min="14079" max="14079" width="23.85546875" customWidth="1"/>
    <col min="14080" max="14080" width="7.85546875" customWidth="1"/>
    <col min="14081" max="14081" width="14.140625" customWidth="1"/>
    <col min="14082" max="14082" width="3.42578125" customWidth="1"/>
    <col min="14083" max="14083" width="0" hidden="1" customWidth="1"/>
    <col min="14084" max="14084" width="5.5703125" customWidth="1"/>
    <col min="14085" max="14085" width="11" customWidth="1"/>
    <col min="14334" max="14334" width="1" customWidth="1"/>
    <col min="14335" max="14335" width="23.85546875" customWidth="1"/>
    <col min="14336" max="14336" width="7.85546875" customWidth="1"/>
    <col min="14337" max="14337" width="14.140625" customWidth="1"/>
    <col min="14338" max="14338" width="3.42578125" customWidth="1"/>
    <col min="14339" max="14339" width="0" hidden="1" customWidth="1"/>
    <col min="14340" max="14340" width="5.5703125" customWidth="1"/>
    <col min="14341" max="14341" width="11" customWidth="1"/>
    <col min="14590" max="14590" width="1" customWidth="1"/>
    <col min="14591" max="14591" width="23.85546875" customWidth="1"/>
    <col min="14592" max="14592" width="7.85546875" customWidth="1"/>
    <col min="14593" max="14593" width="14.140625" customWidth="1"/>
    <col min="14594" max="14594" width="3.42578125" customWidth="1"/>
    <col min="14595" max="14595" width="0" hidden="1" customWidth="1"/>
    <col min="14596" max="14596" width="5.5703125" customWidth="1"/>
    <col min="14597" max="14597" width="11" customWidth="1"/>
    <col min="14846" max="14846" width="1" customWidth="1"/>
    <col min="14847" max="14847" width="23.85546875" customWidth="1"/>
    <col min="14848" max="14848" width="7.85546875" customWidth="1"/>
    <col min="14849" max="14849" width="14.140625" customWidth="1"/>
    <col min="14850" max="14850" width="3.42578125" customWidth="1"/>
    <col min="14851" max="14851" width="0" hidden="1" customWidth="1"/>
    <col min="14852" max="14852" width="5.5703125" customWidth="1"/>
    <col min="14853" max="14853" width="11" customWidth="1"/>
    <col min="15102" max="15102" width="1" customWidth="1"/>
    <col min="15103" max="15103" width="23.85546875" customWidth="1"/>
    <col min="15104" max="15104" width="7.85546875" customWidth="1"/>
    <col min="15105" max="15105" width="14.140625" customWidth="1"/>
    <col min="15106" max="15106" width="3.42578125" customWidth="1"/>
    <col min="15107" max="15107" width="0" hidden="1" customWidth="1"/>
    <col min="15108" max="15108" width="5.5703125" customWidth="1"/>
    <col min="15109" max="15109" width="11" customWidth="1"/>
    <col min="15358" max="15358" width="1" customWidth="1"/>
    <col min="15359" max="15359" width="23.85546875" customWidth="1"/>
    <col min="15360" max="15360" width="7.85546875" customWidth="1"/>
    <col min="15361" max="15361" width="14.140625" customWidth="1"/>
    <col min="15362" max="15362" width="3.42578125" customWidth="1"/>
    <col min="15363" max="15363" width="0" hidden="1" customWidth="1"/>
    <col min="15364" max="15364" width="5.5703125" customWidth="1"/>
    <col min="15365" max="15365" width="11" customWidth="1"/>
    <col min="15614" max="15614" width="1" customWidth="1"/>
    <col min="15615" max="15615" width="23.85546875" customWidth="1"/>
    <col min="15616" max="15616" width="7.85546875" customWidth="1"/>
    <col min="15617" max="15617" width="14.140625" customWidth="1"/>
    <col min="15618" max="15618" width="3.42578125" customWidth="1"/>
    <col min="15619" max="15619" width="0" hidden="1" customWidth="1"/>
    <col min="15620" max="15620" width="5.5703125" customWidth="1"/>
    <col min="15621" max="15621" width="11" customWidth="1"/>
    <col min="15870" max="15870" width="1" customWidth="1"/>
    <col min="15871" max="15871" width="23.85546875" customWidth="1"/>
    <col min="15872" max="15872" width="7.85546875" customWidth="1"/>
    <col min="15873" max="15873" width="14.140625" customWidth="1"/>
    <col min="15874" max="15874" width="3.42578125" customWidth="1"/>
    <col min="15875" max="15875" width="0" hidden="1" customWidth="1"/>
    <col min="15876" max="15876" width="5.5703125" customWidth="1"/>
    <col min="15877" max="15877" width="11" customWidth="1"/>
    <col min="16126" max="16126" width="1" customWidth="1"/>
    <col min="16127" max="16127" width="23.85546875" customWidth="1"/>
    <col min="16128" max="16128" width="7.85546875" customWidth="1"/>
    <col min="16129" max="16129" width="14.140625" customWidth="1"/>
    <col min="16130" max="16130" width="3.42578125" customWidth="1"/>
    <col min="16131" max="16131" width="0" hidden="1" customWidth="1"/>
    <col min="16132" max="16132" width="5.5703125" customWidth="1"/>
    <col min="16133" max="16133" width="11" customWidth="1"/>
  </cols>
  <sheetData>
    <row r="1" spans="2:15" ht="18" x14ac:dyDescent="0.25">
      <c r="B1" s="41" t="s">
        <v>60</v>
      </c>
      <c r="E1" s="42"/>
      <c r="F1" s="42"/>
      <c r="G1" s="43"/>
      <c r="H1" s="44"/>
      <c r="I1" s="42"/>
      <c r="J1" s="42"/>
      <c r="K1" s="42"/>
    </row>
    <row r="2" spans="2:15" ht="15.75" thickBot="1" x14ac:dyDescent="0.3">
      <c r="B2" s="45"/>
      <c r="C2" s="46"/>
      <c r="D2" s="128"/>
      <c r="E2" s="42"/>
      <c r="F2" s="42"/>
      <c r="G2" s="44"/>
      <c r="H2" s="44"/>
      <c r="I2" s="42"/>
      <c r="J2" s="42"/>
      <c r="K2" s="42"/>
    </row>
    <row r="3" spans="2:15" x14ac:dyDescent="0.25">
      <c r="B3" s="117" t="s">
        <v>61</v>
      </c>
      <c r="C3" s="118">
        <v>1.1919999999999999</v>
      </c>
      <c r="D3" s="126"/>
      <c r="E3" s="76" t="s">
        <v>62</v>
      </c>
      <c r="F3" s="76" t="s">
        <v>62</v>
      </c>
      <c r="G3" s="95"/>
      <c r="H3" s="77"/>
      <c r="I3" s="76"/>
      <c r="J3" s="76"/>
      <c r="K3" s="76"/>
      <c r="L3" s="78"/>
    </row>
    <row r="4" spans="2:15" x14ac:dyDescent="0.25">
      <c r="B4" s="119" t="s">
        <v>63</v>
      </c>
      <c r="C4" s="120">
        <v>600</v>
      </c>
      <c r="D4" s="77"/>
      <c r="E4" s="76"/>
      <c r="F4" s="76"/>
      <c r="G4" s="77"/>
      <c r="H4" s="77"/>
      <c r="I4" s="76"/>
      <c r="J4" s="76"/>
      <c r="K4" s="76"/>
      <c r="L4" s="78"/>
    </row>
    <row r="5" spans="2:15" ht="15.75" thickBot="1" x14ac:dyDescent="0.3">
      <c r="B5" s="121" t="s">
        <v>115</v>
      </c>
      <c r="C5" s="122">
        <v>20</v>
      </c>
      <c r="D5" s="119" t="s">
        <v>62</v>
      </c>
      <c r="E5" s="78"/>
      <c r="F5" s="76"/>
      <c r="G5" s="95"/>
      <c r="H5" s="77"/>
      <c r="I5" s="76"/>
      <c r="J5" s="76"/>
      <c r="K5" s="76"/>
      <c r="L5" s="78"/>
    </row>
    <row r="6" spans="2:15" ht="15.75" thickBot="1" x14ac:dyDescent="0.3">
      <c r="B6" s="76"/>
      <c r="C6" s="76" t="s">
        <v>62</v>
      </c>
      <c r="D6" s="129"/>
      <c r="E6" s="96" t="s">
        <v>64</v>
      </c>
      <c r="F6" s="76"/>
      <c r="G6" s="97" t="s">
        <v>73</v>
      </c>
      <c r="H6" s="98" t="s">
        <v>85</v>
      </c>
      <c r="I6" s="99"/>
      <c r="J6" s="76"/>
      <c r="K6" s="76"/>
      <c r="L6" s="78"/>
      <c r="M6" s="34"/>
      <c r="N6" s="34"/>
      <c r="O6" s="34"/>
    </row>
    <row r="7" spans="2:15" ht="15.75" thickBot="1" x14ac:dyDescent="0.3">
      <c r="B7" s="100" t="s">
        <v>62</v>
      </c>
      <c r="C7" s="101" t="s">
        <v>62</v>
      </c>
      <c r="D7" s="130" t="s">
        <v>62</v>
      </c>
      <c r="E7" s="102" t="s">
        <v>65</v>
      </c>
      <c r="F7" s="76"/>
      <c r="G7" s="103">
        <v>0.15</v>
      </c>
      <c r="H7" s="104">
        <f>$C$4*G7</f>
        <v>90</v>
      </c>
      <c r="I7" s="99" t="s">
        <v>35</v>
      </c>
      <c r="J7" s="76"/>
      <c r="K7" s="76"/>
      <c r="L7" s="78"/>
      <c r="M7" s="34"/>
      <c r="N7" s="34"/>
      <c r="O7" s="34"/>
    </row>
    <row r="8" spans="2:15" ht="15.75" thickBot="1" x14ac:dyDescent="0.3">
      <c r="B8" s="105" t="s">
        <v>68</v>
      </c>
      <c r="C8" s="76"/>
      <c r="D8" s="106" t="s">
        <v>66</v>
      </c>
      <c r="E8" s="107" t="s">
        <v>67</v>
      </c>
      <c r="F8" s="76"/>
      <c r="G8" s="108">
        <v>0.2</v>
      </c>
      <c r="H8" s="109">
        <f t="shared" ref="H8:H10" si="0">$C$4*G8</f>
        <v>120</v>
      </c>
      <c r="I8" s="85" t="s">
        <v>35</v>
      </c>
      <c r="J8" s="76"/>
      <c r="K8" s="76"/>
      <c r="L8" s="78"/>
      <c r="M8" s="34"/>
      <c r="N8" s="34"/>
      <c r="O8" s="34"/>
    </row>
    <row r="9" spans="2:15" x14ac:dyDescent="0.25">
      <c r="B9" s="79">
        <f>(B21/10)*0.4</f>
        <v>24</v>
      </c>
      <c r="C9" s="47"/>
      <c r="D9" s="80">
        <f t="shared" ref="D9:D21" si="1">$C$4*($C$4/$C$5)^($C$3-1)/B9^$C$3</f>
        <v>26.094364897837053</v>
      </c>
      <c r="E9" s="79">
        <f t="shared" ref="E9:E21" si="2">D9*B9</f>
        <v>626.26475754808928</v>
      </c>
      <c r="F9" s="76"/>
      <c r="G9" s="110">
        <v>0.5</v>
      </c>
      <c r="H9" s="109">
        <f t="shared" si="0"/>
        <v>300</v>
      </c>
      <c r="I9" s="85" t="s">
        <v>35</v>
      </c>
      <c r="J9" s="78"/>
      <c r="K9" s="78"/>
      <c r="L9" s="78"/>
      <c r="M9" s="72"/>
      <c r="N9" s="72"/>
      <c r="O9" s="34"/>
    </row>
    <row r="10" spans="2:15" ht="15.75" thickBot="1" x14ac:dyDescent="0.3">
      <c r="B10" s="79">
        <f>(B21/10)*0.6</f>
        <v>36</v>
      </c>
      <c r="C10" s="47"/>
      <c r="D10" s="80">
        <f t="shared" si="1"/>
        <v>16.093331245937634</v>
      </c>
      <c r="E10" s="79">
        <f t="shared" si="2"/>
        <v>579.35992485375482</v>
      </c>
      <c r="F10" s="76"/>
      <c r="G10" s="111">
        <v>0.8</v>
      </c>
      <c r="H10" s="112">
        <f t="shared" si="0"/>
        <v>480</v>
      </c>
      <c r="I10" s="113" t="s">
        <v>35</v>
      </c>
      <c r="J10" s="78"/>
      <c r="K10" s="78"/>
      <c r="L10" s="78"/>
      <c r="M10" s="72"/>
      <c r="N10" s="72"/>
      <c r="O10" s="34"/>
    </row>
    <row r="11" spans="2:15" x14ac:dyDescent="0.25">
      <c r="B11" s="79">
        <f>(B21/10)*0.8</f>
        <v>48</v>
      </c>
      <c r="C11" s="47"/>
      <c r="D11" s="80">
        <f t="shared" si="1"/>
        <v>11.42139039272246</v>
      </c>
      <c r="E11" s="79">
        <f t="shared" si="2"/>
        <v>548.22673885067809</v>
      </c>
      <c r="F11" s="76"/>
      <c r="G11" s="78"/>
      <c r="H11" s="78"/>
      <c r="I11" s="78"/>
      <c r="J11" s="78"/>
      <c r="K11" s="78"/>
      <c r="L11" s="78"/>
      <c r="M11" s="73"/>
      <c r="N11" s="74"/>
      <c r="O11" s="34"/>
    </row>
    <row r="12" spans="2:15" x14ac:dyDescent="0.25">
      <c r="B12" s="79">
        <f>(B21/10)*1</f>
        <v>60</v>
      </c>
      <c r="C12" s="47" t="s">
        <v>62</v>
      </c>
      <c r="D12" s="80">
        <f t="shared" si="1"/>
        <v>8.7539132969426472</v>
      </c>
      <c r="E12" s="79">
        <f t="shared" si="2"/>
        <v>525.23479781655885</v>
      </c>
      <c r="F12" s="76"/>
      <c r="G12" s="78"/>
      <c r="H12" s="78"/>
      <c r="I12" s="78"/>
      <c r="J12" s="78"/>
      <c r="K12" s="78"/>
      <c r="L12" s="78"/>
      <c r="M12" s="75"/>
      <c r="N12" s="34"/>
      <c r="O12" s="34"/>
    </row>
    <row r="13" spans="2:15" x14ac:dyDescent="0.25">
      <c r="B13" s="79">
        <f>(B21/10)*2</f>
        <v>120</v>
      </c>
      <c r="C13" s="47" t="s">
        <v>62</v>
      </c>
      <c r="D13" s="80">
        <f t="shared" si="1"/>
        <v>3.8315499005194589</v>
      </c>
      <c r="E13" s="79">
        <f t="shared" si="2"/>
        <v>459.78598806233504</v>
      </c>
      <c r="F13" s="76"/>
      <c r="G13" s="78"/>
      <c r="H13" s="78"/>
      <c r="I13" s="78"/>
      <c r="J13" s="78"/>
      <c r="K13" s="78"/>
      <c r="L13" s="78"/>
      <c r="M13" s="34"/>
      <c r="N13" s="34"/>
      <c r="O13" s="34"/>
    </row>
    <row r="14" spans="2:15" x14ac:dyDescent="0.25">
      <c r="B14" s="79">
        <f>(B21/10)*3</f>
        <v>180</v>
      </c>
      <c r="C14" s="47" t="s">
        <v>62</v>
      </c>
      <c r="D14" s="80">
        <f t="shared" si="1"/>
        <v>2.3630543213377897</v>
      </c>
      <c r="E14" s="79">
        <f t="shared" si="2"/>
        <v>425.34977784080212</v>
      </c>
      <c r="F14" s="76"/>
      <c r="G14" s="47" t="s">
        <v>62</v>
      </c>
      <c r="H14" s="76"/>
      <c r="I14" s="76"/>
      <c r="J14" s="76"/>
      <c r="K14" s="76"/>
      <c r="L14" s="78"/>
      <c r="M14" s="34"/>
      <c r="N14" s="34"/>
      <c r="O14" s="34"/>
    </row>
    <row r="15" spans="2:15" x14ac:dyDescent="0.25">
      <c r="B15" s="79">
        <f>(B21/10)*4</f>
        <v>240</v>
      </c>
      <c r="C15" s="47" t="s">
        <v>62</v>
      </c>
      <c r="D15" s="80">
        <f t="shared" si="1"/>
        <v>1.6770527811028264</v>
      </c>
      <c r="E15" s="79">
        <f t="shared" si="2"/>
        <v>402.49266746467833</v>
      </c>
      <c r="F15" s="76"/>
      <c r="G15" s="47" t="s">
        <v>62</v>
      </c>
      <c r="H15" s="76"/>
      <c r="I15" s="76"/>
      <c r="J15" s="76"/>
      <c r="K15" s="76"/>
      <c r="L15" s="78"/>
    </row>
    <row r="16" spans="2:15" ht="15.75" thickBot="1" x14ac:dyDescent="0.3">
      <c r="B16" s="79">
        <f>(B21/10)*5</f>
        <v>300</v>
      </c>
      <c r="C16" s="47" t="s">
        <v>62</v>
      </c>
      <c r="D16" s="80">
        <f t="shared" si="1"/>
        <v>1.28537543463404</v>
      </c>
      <c r="E16" s="79">
        <f t="shared" si="2"/>
        <v>385.61263039021202</v>
      </c>
      <c r="F16" s="76"/>
      <c r="G16" s="114"/>
      <c r="H16" s="49" t="s">
        <v>86</v>
      </c>
      <c r="I16" s="76"/>
      <c r="J16" s="76"/>
      <c r="K16" s="76"/>
      <c r="L16" s="78"/>
    </row>
    <row r="17" spans="2:12" x14ac:dyDescent="0.25">
      <c r="B17" s="79">
        <f>(B21/10)*6</f>
        <v>360</v>
      </c>
      <c r="C17" s="76"/>
      <c r="D17" s="80">
        <f t="shared" si="1"/>
        <v>1.0342986322478318</v>
      </c>
      <c r="E17" s="79">
        <f t="shared" si="2"/>
        <v>372.34750760921946</v>
      </c>
      <c r="F17" s="76"/>
      <c r="G17" s="131" t="s">
        <v>69</v>
      </c>
      <c r="H17" s="81"/>
      <c r="I17" s="81"/>
      <c r="J17" s="81"/>
      <c r="K17" s="82"/>
      <c r="L17" s="78"/>
    </row>
    <row r="18" spans="2:12" x14ac:dyDescent="0.25">
      <c r="B18" s="79">
        <f>(B21/10)*7</f>
        <v>420</v>
      </c>
      <c r="C18" s="76"/>
      <c r="D18" s="80">
        <f t="shared" si="1"/>
        <v>0.86068726515920613</v>
      </c>
      <c r="E18" s="79">
        <f t="shared" si="2"/>
        <v>361.48865136686658</v>
      </c>
      <c r="F18" s="76"/>
      <c r="G18" s="132" t="s">
        <v>70</v>
      </c>
      <c r="H18" s="83">
        <f t="shared" ref="H18:H19" si="3">$H$21*J18</f>
        <v>4.0000000000000018</v>
      </c>
      <c r="I18" s="115" t="s">
        <v>71</v>
      </c>
      <c r="J18" s="84">
        <v>0.2</v>
      </c>
      <c r="K18" s="85" t="s">
        <v>72</v>
      </c>
      <c r="L18" s="78"/>
    </row>
    <row r="19" spans="2:12" x14ac:dyDescent="0.25">
      <c r="B19" s="79">
        <f>(B21/10)*8</f>
        <v>480</v>
      </c>
      <c r="C19" s="76"/>
      <c r="D19" s="80">
        <f t="shared" si="1"/>
        <v>0.73403873200853376</v>
      </c>
      <c r="E19" s="79">
        <f t="shared" si="2"/>
        <v>352.3385913640962</v>
      </c>
      <c r="F19" s="76"/>
      <c r="G19" s="145">
        <v>30</v>
      </c>
      <c r="H19" s="83">
        <f t="shared" si="3"/>
        <v>10.000000000000004</v>
      </c>
      <c r="I19" s="115" t="s">
        <v>71</v>
      </c>
      <c r="J19" s="86">
        <v>0.5</v>
      </c>
      <c r="K19" s="87" t="s">
        <v>72</v>
      </c>
      <c r="L19" s="78"/>
    </row>
    <row r="20" spans="2:12" x14ac:dyDescent="0.25">
      <c r="B20" s="79">
        <f>(B21/10)*9</f>
        <v>540</v>
      </c>
      <c r="C20" s="76"/>
      <c r="D20" s="80">
        <f t="shared" si="1"/>
        <v>0.6378890829937115</v>
      </c>
      <c r="E20" s="79">
        <f t="shared" si="2"/>
        <v>344.4601048166042</v>
      </c>
      <c r="F20" s="76"/>
      <c r="G20" s="133"/>
      <c r="H20" s="83">
        <f>$H$21*J20</f>
        <v>16.000000000000007</v>
      </c>
      <c r="I20" s="115" t="s">
        <v>71</v>
      </c>
      <c r="J20" s="86">
        <v>0.8</v>
      </c>
      <c r="K20" s="88" t="s">
        <v>72</v>
      </c>
      <c r="L20" s="78"/>
    </row>
    <row r="21" spans="2:12" ht="15.75" thickBot="1" x14ac:dyDescent="0.3">
      <c r="B21" s="89">
        <f>C4</f>
        <v>600</v>
      </c>
      <c r="C21" s="76"/>
      <c r="D21" s="90">
        <f t="shared" si="1"/>
        <v>0.56260325544031708</v>
      </c>
      <c r="E21" s="91">
        <f t="shared" si="2"/>
        <v>337.56195326419027</v>
      </c>
      <c r="F21" s="76"/>
      <c r="G21" s="134" t="s">
        <v>62</v>
      </c>
      <c r="H21" s="92">
        <f>$C$4*($C$4/$C$5)^($C$3-1)/G19^$C$3</f>
        <v>20.000000000000007</v>
      </c>
      <c r="I21" s="116" t="s">
        <v>71</v>
      </c>
      <c r="J21" s="93">
        <v>1</v>
      </c>
      <c r="K21" s="94" t="s">
        <v>72</v>
      </c>
      <c r="L21" s="78"/>
    </row>
    <row r="22" spans="2:12" x14ac:dyDescent="0.25">
      <c r="B22" s="77"/>
      <c r="C22" s="126"/>
      <c r="D22" s="135"/>
      <c r="E22" s="135"/>
      <c r="F22" s="76"/>
      <c r="G22" s="47"/>
      <c r="H22" s="76"/>
      <c r="I22" s="76"/>
      <c r="J22" s="76"/>
      <c r="K22" s="76"/>
      <c r="L22" s="78"/>
    </row>
    <row r="23" spans="2:12" x14ac:dyDescent="0.25">
      <c r="B23" s="127"/>
      <c r="C23" s="126"/>
      <c r="D23" s="127"/>
      <c r="E23" s="127"/>
      <c r="F23" s="76"/>
      <c r="G23" s="78" t="s">
        <v>87</v>
      </c>
      <c r="H23" s="78"/>
      <c r="I23" s="78"/>
      <c r="J23" s="78"/>
      <c r="K23" s="78"/>
      <c r="L23" s="78"/>
    </row>
    <row r="24" spans="2:12" x14ac:dyDescent="0.25">
      <c r="B24" s="78"/>
      <c r="C24" s="78"/>
      <c r="D24" s="78"/>
      <c r="E24" s="78"/>
      <c r="F24" s="78"/>
      <c r="G24" s="78" t="s">
        <v>88</v>
      </c>
      <c r="H24" s="78"/>
      <c r="I24" s="78"/>
      <c r="J24" s="78"/>
      <c r="K24" s="78"/>
      <c r="L24" s="78"/>
    </row>
    <row r="25" spans="2:12" x14ac:dyDescent="0.25">
      <c r="B25" s="78"/>
      <c r="C25" s="78"/>
      <c r="D25" s="78"/>
      <c r="E25" s="78"/>
      <c r="F25" s="78"/>
      <c r="G25" s="78"/>
      <c r="H25" s="78"/>
      <c r="I25" s="78"/>
      <c r="J25" s="78"/>
      <c r="K25" s="78"/>
      <c r="L25" s="78"/>
    </row>
    <row r="26" spans="2:12" x14ac:dyDescent="0.25">
      <c r="B26" s="78"/>
      <c r="C26" s="78"/>
      <c r="D26" s="78"/>
      <c r="E26" s="78"/>
      <c r="F26" s="78"/>
      <c r="G26" s="78"/>
      <c r="H26" s="78"/>
      <c r="I26" s="78"/>
      <c r="J26" s="78"/>
      <c r="K26" s="78"/>
      <c r="L26" s="78"/>
    </row>
    <row r="27" spans="2:12" ht="51.75" x14ac:dyDescent="0.25">
      <c r="C27" s="67" t="s">
        <v>83</v>
      </c>
      <c r="D27" s="68" t="s">
        <v>82</v>
      </c>
      <c r="E27" s="78"/>
      <c r="F27" s="78"/>
      <c r="G27" s="78"/>
      <c r="H27" s="78"/>
      <c r="I27" s="78"/>
      <c r="J27" s="78"/>
      <c r="K27" s="78"/>
      <c r="L27" s="78"/>
    </row>
    <row r="28" spans="2:12" x14ac:dyDescent="0.25">
      <c r="B28" s="20" t="s">
        <v>18</v>
      </c>
      <c r="C28" s="67">
        <v>1</v>
      </c>
      <c r="D28" s="153">
        <v>14.8</v>
      </c>
      <c r="E28" s="42"/>
    </row>
    <row r="29" spans="2:12" x14ac:dyDescent="0.25">
      <c r="B29" s="20" t="s">
        <v>19</v>
      </c>
      <c r="C29" s="67">
        <v>1.04</v>
      </c>
      <c r="D29" s="69">
        <f>D28+0.168</f>
        <v>14.968</v>
      </c>
      <c r="E29" s="42"/>
    </row>
    <row r="30" spans="2:12" x14ac:dyDescent="0.25">
      <c r="B30" s="20" t="s">
        <v>20</v>
      </c>
      <c r="C30" s="67">
        <v>1.1100000000000001</v>
      </c>
      <c r="D30" s="69">
        <f t="shared" ref="D30:D34" si="4">D29+0.168</f>
        <v>15.135999999999999</v>
      </c>
    </row>
    <row r="31" spans="2:12" x14ac:dyDescent="0.25">
      <c r="B31" s="20" t="s">
        <v>21</v>
      </c>
      <c r="C31" s="67">
        <v>1.19</v>
      </c>
      <c r="D31" s="69">
        <f t="shared" si="4"/>
        <v>15.303999999999998</v>
      </c>
    </row>
    <row r="32" spans="2:12" x14ac:dyDescent="0.25">
      <c r="B32" s="20" t="s">
        <v>22</v>
      </c>
      <c r="C32" s="67">
        <v>1.3</v>
      </c>
      <c r="D32" s="69">
        <f t="shared" si="4"/>
        <v>15.471999999999998</v>
      </c>
    </row>
    <row r="33" spans="2:4" x14ac:dyDescent="0.25">
      <c r="B33" s="20" t="s">
        <v>23</v>
      </c>
      <c r="C33" s="67">
        <v>1.4</v>
      </c>
      <c r="D33" s="69">
        <f t="shared" si="4"/>
        <v>15.639999999999997</v>
      </c>
    </row>
    <row r="34" spans="2:4" x14ac:dyDescent="0.25">
      <c r="B34" s="20" t="s">
        <v>24</v>
      </c>
      <c r="C34" s="67">
        <v>1.59</v>
      </c>
      <c r="D34" s="69">
        <f t="shared" si="4"/>
        <v>15.807999999999996</v>
      </c>
    </row>
    <row r="36" spans="2:4" ht="64.5" x14ac:dyDescent="0.25">
      <c r="B36" s="2" t="s">
        <v>84</v>
      </c>
    </row>
    <row r="37" spans="2:4" x14ac:dyDescent="0.25">
      <c r="B37" s="48"/>
    </row>
    <row r="38" spans="2:4" x14ac:dyDescent="0.25">
      <c r="B38" s="48"/>
    </row>
    <row r="39" spans="2:4" x14ac:dyDescent="0.25">
      <c r="B39" s="48"/>
    </row>
    <row r="40" spans="2:4" x14ac:dyDescent="0.25">
      <c r="B40" s="48"/>
    </row>
    <row r="41" spans="2:4" x14ac:dyDescent="0.25">
      <c r="B41" s="48"/>
    </row>
    <row r="42" spans="2:4" x14ac:dyDescent="0.25">
      <c r="B42" s="48"/>
    </row>
    <row r="43" spans="2:4" x14ac:dyDescent="0.25">
      <c r="B43" s="48"/>
    </row>
    <row r="44" spans="2:4" x14ac:dyDescent="0.25">
      <c r="B44" s="48"/>
    </row>
    <row r="45" spans="2:4" x14ac:dyDescent="0.25">
      <c r="B45" s="48"/>
    </row>
    <row r="46" spans="2:4" x14ac:dyDescent="0.25">
      <c r="B46" s="48"/>
    </row>
    <row r="47" spans="2:4" x14ac:dyDescent="0.25">
      <c r="B47" s="48"/>
    </row>
    <row r="48" spans="2:4" x14ac:dyDescent="0.25">
      <c r="B48" s="48"/>
    </row>
    <row r="49" spans="2:2" x14ac:dyDescent="0.25">
      <c r="B49" s="48"/>
    </row>
    <row r="50" spans="2:2" x14ac:dyDescent="0.25">
      <c r="B50" s="48"/>
    </row>
    <row r="51" spans="2:2" x14ac:dyDescent="0.25">
      <c r="B51" s="48"/>
    </row>
    <row r="52" spans="2:2" x14ac:dyDescent="0.25">
      <c r="B52" s="48"/>
    </row>
    <row r="53" spans="2:2" x14ac:dyDescent="0.25">
      <c r="B53" s="48"/>
    </row>
    <row r="54" spans="2:2" x14ac:dyDescent="0.25">
      <c r="B54" s="48"/>
    </row>
    <row r="55" spans="2:2" x14ac:dyDescent="0.25">
      <c r="B55" s="48"/>
    </row>
    <row r="56" spans="2:2" x14ac:dyDescent="0.25">
      <c r="B56" s="48"/>
    </row>
    <row r="57" spans="2:2" x14ac:dyDescent="0.25">
      <c r="B57" s="48"/>
    </row>
    <row r="58" spans="2:2" x14ac:dyDescent="0.25">
      <c r="B58" s="48"/>
    </row>
    <row r="59" spans="2:2" x14ac:dyDescent="0.25">
      <c r="B59" s="48"/>
    </row>
  </sheetData>
  <sheetProtection password="E640" sheet="1" objects="1" scenarios="1" selectLockedCells="1"/>
  <dataValidations count="3">
    <dataValidation type="whole" allowBlank="1" showErrorMessage="1" errorTitle="Discharge rating error" error="The discharge rating must be between 1 hours and 100 hours." sqref="IV5 C65539 C5 C983043 C917507 C851971 C786435 C720899 C655363 C589827 C524291 C458755 C393219 C327683 C262147 C196611 C131075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WVH5 WLL5 WBP5 VRT5 VHX5 UYB5 UOF5 UEJ5 TUN5 TKR5 TAV5 SQZ5 SHD5 RXH5 RNL5 RDP5 QTT5 QJX5 QAB5 PQF5 PGJ5 OWN5 OMR5 OCV5 NSZ5 NJD5 MZH5 MPL5 MFP5 LVT5 LLX5 LCB5 KSF5 KIJ5 JYN5 JOR5 JEV5 IUZ5 ILD5 IBH5 HRL5 HHP5 GXT5 GNX5 GEB5 FUF5 FKJ5 FAN5 EQR5 EGV5 DWZ5 DND5 DDH5 CTL5 CJP5 BZT5 BPX5 BGB5 AWF5 AMJ5 ACN5 SR5">
      <formula1>1</formula1>
      <formula2>100</formula2>
    </dataValidation>
    <dataValidation type="whole" allowBlank="1" showErrorMessage="1" errorTitle="Battery capacity error" error="The battery capacity must be between 20Ahrs and 10,000Ahrs" sqref="IV4 C65538 C4 C983042 C917506 C851970 C786434 C720898 C655362 C589826 C524290 C458754 C393218 C327682 C262146 C196610 C131074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WVH4 WLL4 WBP4 VRT4 VHX4 UYB4 UOF4 UEJ4 TUN4 TKR4 TAV4 SQZ4 SHD4 RXH4 RNL4 RDP4 QTT4 QJX4 QAB4 PQF4 PGJ4 OWN4 OMR4 OCV4 NSZ4 NJD4 MZH4 MPL4 MFP4 LVT4 LLX4 LCB4 KSF4 KIJ4 JYN4 JOR4 JEV4 IUZ4 ILD4 IBH4 HRL4 HHP4 GXT4 GNX4 GEB4 FUF4 FKJ4 FAN4 EQR4 EGV4 DWZ4 DND4 DDH4 CTL4 CJP4 BZT4 BPX4 BGB4 AWF4 AMJ4 ACN4 SR4">
      <formula1>20</formula1>
      <formula2>10000</formula2>
    </dataValidation>
    <dataValidation type="decimal" allowBlank="1" showErrorMessage="1" errorTitle="Peukert's Exponent error" error="Peukert's Exponent must be between 1.0 and 1.6" sqref="IV3 C65537 C3 C983041 C917505 C851969 C786433 C720897 C655361 C589825 C524289 C458753 C393217 C327681 C262145 C196609 C131073 IV65537 SR65537 ACN65537 AMJ65537 AWF65537 BGB65537 BPX65537 BZT65537 CJP65537 CTL65537 DDH65537 DND65537 DWZ65537 EGV65537 EQR65537 FAN65537 FKJ65537 FUF65537 GEB65537 GNX65537 GXT65537 HHP65537 HRL65537 IBH65537 ILD65537 IUZ65537 JEV65537 JOR65537 JYN65537 KIJ65537 KSF65537 LCB65537 LLX65537 LVT65537 MFP65537 MPL65537 MZH65537 NJD65537 NSZ65537 OCV65537 OMR65537 OWN65537 PGJ65537 PQF65537 QAB65537 QJX65537 QTT65537 RDP65537 RNL65537 RXH65537 SHD65537 SQZ65537 TAV65537 TKR65537 TUN65537 UEJ65537 UOF65537 UYB65537 VHX65537 VRT65537 WBP65537 WLL65537 WVH65537 IV131073 SR131073 ACN131073 AMJ131073 AWF131073 BGB131073 BPX131073 BZT131073 CJP131073 CTL131073 DDH131073 DND131073 DWZ131073 EGV131073 EQR131073 FAN131073 FKJ131073 FUF131073 GEB131073 GNX131073 GXT131073 HHP131073 HRL131073 IBH131073 ILD131073 IUZ131073 JEV131073 JOR131073 JYN131073 KIJ131073 KSF131073 LCB131073 LLX131073 LVT131073 MFP131073 MPL131073 MZH131073 NJD131073 NSZ131073 OCV131073 OMR131073 OWN131073 PGJ131073 PQF131073 QAB131073 QJX131073 QTT131073 RDP131073 RNL131073 RXH131073 SHD131073 SQZ131073 TAV131073 TKR131073 TUN131073 UEJ131073 UOF131073 UYB131073 VHX131073 VRT131073 WBP131073 WLL131073 WVH131073 IV196609 SR196609 ACN196609 AMJ196609 AWF196609 BGB196609 BPX196609 BZT196609 CJP196609 CTL196609 DDH196609 DND196609 DWZ196609 EGV196609 EQR196609 FAN196609 FKJ196609 FUF196609 GEB196609 GNX196609 GXT196609 HHP196609 HRL196609 IBH196609 ILD196609 IUZ196609 JEV196609 JOR196609 JYN196609 KIJ196609 KSF196609 LCB196609 LLX196609 LVT196609 MFP196609 MPL196609 MZH196609 NJD196609 NSZ196609 OCV196609 OMR196609 OWN196609 PGJ196609 PQF196609 QAB196609 QJX196609 QTT196609 RDP196609 RNL196609 RXH196609 SHD196609 SQZ196609 TAV196609 TKR196609 TUN196609 UEJ196609 UOF196609 UYB196609 VHX196609 VRT196609 WBP196609 WLL196609 WVH196609 IV262145 SR262145 ACN262145 AMJ262145 AWF262145 BGB262145 BPX262145 BZT262145 CJP262145 CTL262145 DDH262145 DND262145 DWZ262145 EGV262145 EQR262145 FAN262145 FKJ262145 FUF262145 GEB262145 GNX262145 GXT262145 HHP262145 HRL262145 IBH262145 ILD262145 IUZ262145 JEV262145 JOR262145 JYN262145 KIJ262145 KSF262145 LCB262145 LLX262145 LVT262145 MFP262145 MPL262145 MZH262145 NJD262145 NSZ262145 OCV262145 OMR262145 OWN262145 PGJ262145 PQF262145 QAB262145 QJX262145 QTT262145 RDP262145 RNL262145 RXH262145 SHD262145 SQZ262145 TAV262145 TKR262145 TUN262145 UEJ262145 UOF262145 UYB262145 VHX262145 VRT262145 WBP262145 WLL262145 WVH262145 IV327681 SR327681 ACN327681 AMJ327681 AWF327681 BGB327681 BPX327681 BZT327681 CJP327681 CTL327681 DDH327681 DND327681 DWZ327681 EGV327681 EQR327681 FAN327681 FKJ327681 FUF327681 GEB327681 GNX327681 GXT327681 HHP327681 HRL327681 IBH327681 ILD327681 IUZ327681 JEV327681 JOR327681 JYN327681 KIJ327681 KSF327681 LCB327681 LLX327681 LVT327681 MFP327681 MPL327681 MZH327681 NJD327681 NSZ327681 OCV327681 OMR327681 OWN327681 PGJ327681 PQF327681 QAB327681 QJX327681 QTT327681 RDP327681 RNL327681 RXH327681 SHD327681 SQZ327681 TAV327681 TKR327681 TUN327681 UEJ327681 UOF327681 UYB327681 VHX327681 VRT327681 WBP327681 WLL327681 WVH327681 IV393217 SR393217 ACN393217 AMJ393217 AWF393217 BGB393217 BPX393217 BZT393217 CJP393217 CTL393217 DDH393217 DND393217 DWZ393217 EGV393217 EQR393217 FAN393217 FKJ393217 FUF393217 GEB393217 GNX393217 GXT393217 HHP393217 HRL393217 IBH393217 ILD393217 IUZ393217 JEV393217 JOR393217 JYN393217 KIJ393217 KSF393217 LCB393217 LLX393217 LVT393217 MFP393217 MPL393217 MZH393217 NJD393217 NSZ393217 OCV393217 OMR393217 OWN393217 PGJ393217 PQF393217 QAB393217 QJX393217 QTT393217 RDP393217 RNL393217 RXH393217 SHD393217 SQZ393217 TAV393217 TKR393217 TUN393217 UEJ393217 UOF393217 UYB393217 VHX393217 VRT393217 WBP393217 WLL393217 WVH393217 IV458753 SR458753 ACN458753 AMJ458753 AWF458753 BGB458753 BPX458753 BZT458753 CJP458753 CTL458753 DDH458753 DND458753 DWZ458753 EGV458753 EQR458753 FAN458753 FKJ458753 FUF458753 GEB458753 GNX458753 GXT458753 HHP458753 HRL458753 IBH458753 ILD458753 IUZ458753 JEV458753 JOR458753 JYN458753 KIJ458753 KSF458753 LCB458753 LLX458753 LVT458753 MFP458753 MPL458753 MZH458753 NJD458753 NSZ458753 OCV458753 OMR458753 OWN458753 PGJ458753 PQF458753 QAB458753 QJX458753 QTT458753 RDP458753 RNL458753 RXH458753 SHD458753 SQZ458753 TAV458753 TKR458753 TUN458753 UEJ458753 UOF458753 UYB458753 VHX458753 VRT458753 WBP458753 WLL458753 WVH458753 IV524289 SR524289 ACN524289 AMJ524289 AWF524289 BGB524289 BPX524289 BZT524289 CJP524289 CTL524289 DDH524289 DND524289 DWZ524289 EGV524289 EQR524289 FAN524289 FKJ524289 FUF524289 GEB524289 GNX524289 GXT524289 HHP524289 HRL524289 IBH524289 ILD524289 IUZ524289 JEV524289 JOR524289 JYN524289 KIJ524289 KSF524289 LCB524289 LLX524289 LVT524289 MFP524289 MPL524289 MZH524289 NJD524289 NSZ524289 OCV524289 OMR524289 OWN524289 PGJ524289 PQF524289 QAB524289 QJX524289 QTT524289 RDP524289 RNL524289 RXH524289 SHD524289 SQZ524289 TAV524289 TKR524289 TUN524289 UEJ524289 UOF524289 UYB524289 VHX524289 VRT524289 WBP524289 WLL524289 WVH524289 IV589825 SR589825 ACN589825 AMJ589825 AWF589825 BGB589825 BPX589825 BZT589825 CJP589825 CTL589825 DDH589825 DND589825 DWZ589825 EGV589825 EQR589825 FAN589825 FKJ589825 FUF589825 GEB589825 GNX589825 GXT589825 HHP589825 HRL589825 IBH589825 ILD589825 IUZ589825 JEV589825 JOR589825 JYN589825 KIJ589825 KSF589825 LCB589825 LLX589825 LVT589825 MFP589825 MPL589825 MZH589825 NJD589825 NSZ589825 OCV589825 OMR589825 OWN589825 PGJ589825 PQF589825 QAB589825 QJX589825 QTT589825 RDP589825 RNL589825 RXH589825 SHD589825 SQZ589825 TAV589825 TKR589825 TUN589825 UEJ589825 UOF589825 UYB589825 VHX589825 VRT589825 WBP589825 WLL589825 WVH589825 IV655361 SR655361 ACN655361 AMJ655361 AWF655361 BGB655361 BPX655361 BZT655361 CJP655361 CTL655361 DDH655361 DND655361 DWZ655361 EGV655361 EQR655361 FAN655361 FKJ655361 FUF655361 GEB655361 GNX655361 GXT655361 HHP655361 HRL655361 IBH655361 ILD655361 IUZ655361 JEV655361 JOR655361 JYN655361 KIJ655361 KSF655361 LCB655361 LLX655361 LVT655361 MFP655361 MPL655361 MZH655361 NJD655361 NSZ655361 OCV655361 OMR655361 OWN655361 PGJ655361 PQF655361 QAB655361 QJX655361 QTT655361 RDP655361 RNL655361 RXH655361 SHD655361 SQZ655361 TAV655361 TKR655361 TUN655361 UEJ655361 UOF655361 UYB655361 VHX655361 VRT655361 WBP655361 WLL655361 WVH655361 IV720897 SR720897 ACN720897 AMJ720897 AWF720897 BGB720897 BPX720897 BZT720897 CJP720897 CTL720897 DDH720897 DND720897 DWZ720897 EGV720897 EQR720897 FAN720897 FKJ720897 FUF720897 GEB720897 GNX720897 GXT720897 HHP720897 HRL720897 IBH720897 ILD720897 IUZ720897 JEV720897 JOR720897 JYN720897 KIJ720897 KSF720897 LCB720897 LLX720897 LVT720897 MFP720897 MPL720897 MZH720897 NJD720897 NSZ720897 OCV720897 OMR720897 OWN720897 PGJ720897 PQF720897 QAB720897 QJX720897 QTT720897 RDP720897 RNL720897 RXH720897 SHD720897 SQZ720897 TAV720897 TKR720897 TUN720897 UEJ720897 UOF720897 UYB720897 VHX720897 VRT720897 WBP720897 WLL720897 WVH720897 IV786433 SR786433 ACN786433 AMJ786433 AWF786433 BGB786433 BPX786433 BZT786433 CJP786433 CTL786433 DDH786433 DND786433 DWZ786433 EGV786433 EQR786433 FAN786433 FKJ786433 FUF786433 GEB786433 GNX786433 GXT786433 HHP786433 HRL786433 IBH786433 ILD786433 IUZ786433 JEV786433 JOR786433 JYN786433 KIJ786433 KSF786433 LCB786433 LLX786433 LVT786433 MFP786433 MPL786433 MZH786433 NJD786433 NSZ786433 OCV786433 OMR786433 OWN786433 PGJ786433 PQF786433 QAB786433 QJX786433 QTT786433 RDP786433 RNL786433 RXH786433 SHD786433 SQZ786433 TAV786433 TKR786433 TUN786433 UEJ786433 UOF786433 UYB786433 VHX786433 VRT786433 WBP786433 WLL786433 WVH786433 IV851969 SR851969 ACN851969 AMJ851969 AWF851969 BGB851969 BPX851969 BZT851969 CJP851969 CTL851969 DDH851969 DND851969 DWZ851969 EGV851969 EQR851969 FAN851969 FKJ851969 FUF851969 GEB851969 GNX851969 GXT851969 HHP851969 HRL851969 IBH851969 ILD851969 IUZ851969 JEV851969 JOR851969 JYN851969 KIJ851969 KSF851969 LCB851969 LLX851969 LVT851969 MFP851969 MPL851969 MZH851969 NJD851969 NSZ851969 OCV851969 OMR851969 OWN851969 PGJ851969 PQF851969 QAB851969 QJX851969 QTT851969 RDP851969 RNL851969 RXH851969 SHD851969 SQZ851969 TAV851969 TKR851969 TUN851969 UEJ851969 UOF851969 UYB851969 VHX851969 VRT851969 WBP851969 WLL851969 WVH851969 IV917505 SR917505 ACN917505 AMJ917505 AWF917505 BGB917505 BPX917505 BZT917505 CJP917505 CTL917505 DDH917505 DND917505 DWZ917505 EGV917505 EQR917505 FAN917505 FKJ917505 FUF917505 GEB917505 GNX917505 GXT917505 HHP917505 HRL917505 IBH917505 ILD917505 IUZ917505 JEV917505 JOR917505 JYN917505 KIJ917505 KSF917505 LCB917505 LLX917505 LVT917505 MFP917505 MPL917505 MZH917505 NJD917505 NSZ917505 OCV917505 OMR917505 OWN917505 PGJ917505 PQF917505 QAB917505 QJX917505 QTT917505 RDP917505 RNL917505 RXH917505 SHD917505 SQZ917505 TAV917505 TKR917505 TUN917505 UEJ917505 UOF917505 UYB917505 VHX917505 VRT917505 WBP917505 WLL917505 WVH917505 IV983041 SR983041 ACN983041 AMJ983041 AWF983041 BGB983041 BPX983041 BZT983041 CJP983041 CTL983041 DDH983041 DND983041 DWZ983041 EGV983041 EQR983041 FAN983041 FKJ983041 FUF983041 GEB983041 GNX983041 GXT983041 HHP983041 HRL983041 IBH983041 ILD983041 IUZ983041 JEV983041 JOR983041 JYN983041 KIJ983041 KSF983041 LCB983041 LLX983041 LVT983041 MFP983041 MPL983041 MZH983041 NJD983041 NSZ983041 OCV983041 OMR983041 OWN983041 PGJ983041 PQF983041 QAB983041 QJX983041 QTT983041 RDP983041 RNL983041 RXH983041 SHD983041 SQZ983041 TAV983041 TKR983041 TUN983041 UEJ983041 UOF983041 UYB983041 VHX983041 VRT983041 WBP983041 WLL983041 WVH983041 WVH3 WLL3 WBP3 VRT3 VHX3 UYB3 UOF3 UEJ3 TUN3 TKR3 TAV3 SQZ3 SHD3 RXH3 RNL3 RDP3 QTT3 QJX3 QAB3 PQF3 PGJ3 OWN3 OMR3 OCV3 NSZ3 NJD3 MZH3 MPL3 MFP3 LVT3 LLX3 LCB3 KSF3 KIJ3 JYN3 JOR3 JEV3 IUZ3 ILD3 IBH3 HRL3 HHP3 GXT3 GNX3 GEB3 FUF3 FKJ3 FAN3 EQR3 EGV3 DWZ3 DND3 DDH3 CTL3 CJP3 BZT3 BPX3 BGB3 AWF3 AMJ3 ACN3 SR3">
      <formula1>1</formula1>
      <formula2>1.6</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75" zoomScaleNormal="75" workbookViewId="0">
      <selection activeCell="B34" sqref="B34"/>
    </sheetView>
  </sheetViews>
  <sheetFormatPr defaultColWidth="12.7109375" defaultRowHeight="18.75" x14ac:dyDescent="0.4"/>
  <cols>
    <col min="1" max="1" width="12.7109375" style="32"/>
    <col min="2" max="2" width="51" style="32" customWidth="1"/>
    <col min="3" max="3" width="14.5703125" style="33" customWidth="1"/>
    <col min="4" max="4" width="14.85546875" style="33" customWidth="1"/>
    <col min="5" max="5" width="12.7109375" style="32"/>
    <col min="6" max="6" width="7.42578125" style="32" customWidth="1"/>
    <col min="7" max="7" width="25.28515625" style="32" customWidth="1"/>
    <col min="8" max="16384" width="12.7109375" style="32"/>
  </cols>
  <sheetData>
    <row r="1" spans="1:8" ht="21.75" x14ac:dyDescent="0.4">
      <c r="B1" s="57" t="s">
        <v>164</v>
      </c>
    </row>
    <row r="2" spans="1:8" ht="37.5" x14ac:dyDescent="0.4">
      <c r="A2" s="165" t="s">
        <v>44</v>
      </c>
      <c r="B2" s="165" t="s">
        <v>45</v>
      </c>
      <c r="C2" s="166" t="s">
        <v>128</v>
      </c>
      <c r="D2" s="166" t="s">
        <v>46</v>
      </c>
    </row>
    <row r="3" spans="1:8" x14ac:dyDescent="0.4">
      <c r="A3" s="34"/>
      <c r="B3" s="34" t="s">
        <v>89</v>
      </c>
      <c r="C3" s="35">
        <v>390</v>
      </c>
      <c r="D3" s="35">
        <f>A3*C3</f>
        <v>0</v>
      </c>
    </row>
    <row r="4" spans="1:8" x14ac:dyDescent="0.4">
      <c r="A4" s="34">
        <v>2</v>
      </c>
      <c r="B4" s="34" t="s">
        <v>120</v>
      </c>
      <c r="C4" s="35">
        <v>455</v>
      </c>
      <c r="D4" s="35">
        <f>A4*C4</f>
        <v>910</v>
      </c>
    </row>
    <row r="5" spans="1:8" x14ac:dyDescent="0.4">
      <c r="A5" s="34">
        <v>50</v>
      </c>
      <c r="B5" s="34" t="s">
        <v>152</v>
      </c>
      <c r="C5" s="35">
        <v>1.2</v>
      </c>
      <c r="D5" s="35">
        <f t="shared" ref="D5:D6" si="0">A5*C5</f>
        <v>60</v>
      </c>
    </row>
    <row r="6" spans="1:8" x14ac:dyDescent="0.4">
      <c r="A6" s="34">
        <v>15</v>
      </c>
      <c r="B6" s="34" t="s">
        <v>124</v>
      </c>
      <c r="C6" s="35">
        <v>0.8</v>
      </c>
      <c r="D6" s="35">
        <f t="shared" si="0"/>
        <v>12</v>
      </c>
    </row>
    <row r="7" spans="1:8" x14ac:dyDescent="0.4">
      <c r="A7" s="34"/>
      <c r="B7" s="34" t="s">
        <v>53</v>
      </c>
      <c r="C7" s="35">
        <v>1</v>
      </c>
      <c r="D7" s="35">
        <f t="shared" ref="D7:D34" si="1">A7*C7</f>
        <v>0</v>
      </c>
    </row>
    <row r="8" spans="1:8" x14ac:dyDescent="0.4">
      <c r="A8" s="34">
        <v>45</v>
      </c>
      <c r="B8" s="34" t="s">
        <v>90</v>
      </c>
      <c r="C8" s="35">
        <v>1.25</v>
      </c>
      <c r="D8" s="35">
        <f t="shared" si="1"/>
        <v>56.25</v>
      </c>
    </row>
    <row r="9" spans="1:8" x14ac:dyDescent="0.4">
      <c r="A9" s="34"/>
      <c r="B9" s="34" t="s">
        <v>91</v>
      </c>
      <c r="C9" s="35">
        <v>1.9</v>
      </c>
      <c r="D9" s="35">
        <f t="shared" si="1"/>
        <v>0</v>
      </c>
    </row>
    <row r="10" spans="1:8" x14ac:dyDescent="0.4">
      <c r="A10" s="34">
        <v>4</v>
      </c>
      <c r="B10" s="34" t="s">
        <v>126</v>
      </c>
      <c r="C10" s="35">
        <v>2.25</v>
      </c>
      <c r="D10" s="35">
        <f t="shared" si="1"/>
        <v>9</v>
      </c>
    </row>
    <row r="11" spans="1:8" x14ac:dyDescent="0.4">
      <c r="A11" s="34"/>
      <c r="B11" s="34" t="s">
        <v>127</v>
      </c>
      <c r="C11" s="35"/>
      <c r="D11" s="35">
        <f t="shared" si="1"/>
        <v>0</v>
      </c>
    </row>
    <row r="12" spans="1:8" x14ac:dyDescent="0.4">
      <c r="A12" s="34"/>
      <c r="B12" s="34" t="s">
        <v>125</v>
      </c>
      <c r="C12" s="35"/>
      <c r="D12" s="35">
        <f t="shared" si="1"/>
        <v>0</v>
      </c>
    </row>
    <row r="13" spans="1:8" x14ac:dyDescent="0.4">
      <c r="A13" s="36">
        <v>10</v>
      </c>
      <c r="B13" s="40" t="s">
        <v>92</v>
      </c>
      <c r="C13" s="37">
        <v>4</v>
      </c>
      <c r="D13" s="35">
        <f t="shared" si="1"/>
        <v>40</v>
      </c>
    </row>
    <row r="14" spans="1:8" x14ac:dyDescent="0.4">
      <c r="A14" s="34"/>
      <c r="B14" s="34" t="s">
        <v>47</v>
      </c>
      <c r="C14" s="35">
        <v>15</v>
      </c>
      <c r="D14" s="35">
        <f t="shared" si="1"/>
        <v>0</v>
      </c>
    </row>
    <row r="15" spans="1:8" x14ac:dyDescent="0.4">
      <c r="A15" s="34">
        <v>1</v>
      </c>
      <c r="B15" s="34" t="s">
        <v>48</v>
      </c>
      <c r="C15" s="35">
        <v>529</v>
      </c>
      <c r="D15" s="35">
        <f t="shared" si="1"/>
        <v>529</v>
      </c>
      <c r="F15" s="54"/>
      <c r="G15" s="54"/>
    </row>
    <row r="16" spans="1:8" x14ac:dyDescent="0.4">
      <c r="A16" s="34">
        <v>1</v>
      </c>
      <c r="B16" s="34" t="s">
        <v>98</v>
      </c>
      <c r="C16" s="35">
        <v>29</v>
      </c>
      <c r="D16" s="35">
        <f t="shared" si="1"/>
        <v>29</v>
      </c>
      <c r="F16" s="55"/>
      <c r="G16" s="56"/>
      <c r="H16" s="39"/>
    </row>
    <row r="17" spans="1:8" x14ac:dyDescent="0.4">
      <c r="A17" s="34"/>
      <c r="B17" s="34" t="s">
        <v>49</v>
      </c>
      <c r="C17" s="35">
        <v>257</v>
      </c>
      <c r="D17" s="35">
        <f t="shared" si="1"/>
        <v>0</v>
      </c>
      <c r="F17" s="55"/>
      <c r="G17" s="56"/>
      <c r="H17" s="39"/>
    </row>
    <row r="18" spans="1:8" x14ac:dyDescent="0.4">
      <c r="A18" s="34"/>
      <c r="B18" s="34" t="s">
        <v>51</v>
      </c>
      <c r="C18" s="35">
        <v>42</v>
      </c>
      <c r="D18" s="35">
        <f t="shared" si="1"/>
        <v>0</v>
      </c>
      <c r="F18" s="55"/>
      <c r="G18" s="56"/>
      <c r="H18" s="39"/>
    </row>
    <row r="19" spans="1:8" x14ac:dyDescent="0.4">
      <c r="A19" s="34"/>
      <c r="B19" s="34" t="s">
        <v>77</v>
      </c>
      <c r="C19" s="35">
        <v>15</v>
      </c>
      <c r="D19" s="35">
        <f t="shared" si="1"/>
        <v>0</v>
      </c>
      <c r="F19" s="55"/>
      <c r="G19" s="56"/>
      <c r="H19" s="39"/>
    </row>
    <row r="20" spans="1:8" x14ac:dyDescent="0.4">
      <c r="A20" s="34"/>
      <c r="B20" s="34" t="s">
        <v>78</v>
      </c>
      <c r="C20" s="35">
        <v>3</v>
      </c>
      <c r="D20" s="35">
        <f t="shared" si="1"/>
        <v>0</v>
      </c>
      <c r="F20" s="55"/>
      <c r="G20" s="56"/>
      <c r="H20" s="39"/>
    </row>
    <row r="21" spans="1:8" x14ac:dyDescent="0.4">
      <c r="A21" s="36">
        <v>1</v>
      </c>
      <c r="B21" s="34" t="s">
        <v>75</v>
      </c>
      <c r="C21" s="37">
        <v>90</v>
      </c>
      <c r="D21" s="35">
        <f t="shared" si="1"/>
        <v>90</v>
      </c>
      <c r="F21" s="55"/>
      <c r="G21" s="56"/>
      <c r="H21" s="39"/>
    </row>
    <row r="22" spans="1:8" x14ac:dyDescent="0.4">
      <c r="A22" s="36">
        <v>1</v>
      </c>
      <c r="B22" s="40" t="s">
        <v>74</v>
      </c>
      <c r="C22" s="37">
        <v>248</v>
      </c>
      <c r="D22" s="35">
        <f t="shared" si="1"/>
        <v>248</v>
      </c>
      <c r="F22" s="55"/>
      <c r="G22" s="56"/>
      <c r="H22" s="39"/>
    </row>
    <row r="23" spans="1:8" x14ac:dyDescent="0.4">
      <c r="A23" s="34">
        <v>6</v>
      </c>
      <c r="B23" s="34" t="s">
        <v>155</v>
      </c>
      <c r="C23" s="34">
        <v>0.85</v>
      </c>
      <c r="D23" s="35">
        <f t="shared" si="1"/>
        <v>5.0999999999999996</v>
      </c>
      <c r="F23" s="55"/>
      <c r="G23" s="56"/>
      <c r="H23" s="39"/>
    </row>
    <row r="24" spans="1:8" x14ac:dyDescent="0.4">
      <c r="A24" s="36">
        <v>4</v>
      </c>
      <c r="B24" s="38" t="s">
        <v>76</v>
      </c>
      <c r="C24" s="37">
        <v>1.25</v>
      </c>
      <c r="D24" s="35">
        <f t="shared" si="1"/>
        <v>5</v>
      </c>
      <c r="F24" s="56"/>
      <c r="G24" s="56"/>
      <c r="H24" s="39"/>
    </row>
    <row r="25" spans="1:8" x14ac:dyDescent="0.4">
      <c r="A25" s="36">
        <v>10</v>
      </c>
      <c r="B25" s="36" t="s">
        <v>93</v>
      </c>
      <c r="C25" s="37">
        <v>1.25</v>
      </c>
      <c r="D25" s="35">
        <f t="shared" si="1"/>
        <v>12.5</v>
      </c>
      <c r="F25" s="56"/>
      <c r="G25" s="56"/>
      <c r="H25" s="39"/>
    </row>
    <row r="26" spans="1:8" x14ac:dyDescent="0.4">
      <c r="A26" s="36"/>
      <c r="B26" s="36" t="s">
        <v>52</v>
      </c>
      <c r="C26" s="37">
        <v>6</v>
      </c>
      <c r="D26" s="35">
        <f t="shared" si="1"/>
        <v>0</v>
      </c>
      <c r="F26" s="56"/>
      <c r="G26" s="56"/>
      <c r="H26" s="39"/>
    </row>
    <row r="27" spans="1:8" x14ac:dyDescent="0.4">
      <c r="A27" s="36">
        <v>1</v>
      </c>
      <c r="B27" s="36" t="s">
        <v>99</v>
      </c>
      <c r="C27" s="37">
        <v>345</v>
      </c>
      <c r="D27" s="35">
        <f t="shared" si="1"/>
        <v>345</v>
      </c>
      <c r="F27" s="56"/>
      <c r="G27" s="56"/>
      <c r="H27" s="39"/>
    </row>
    <row r="28" spans="1:8" x14ac:dyDescent="0.4">
      <c r="A28" s="36">
        <v>22</v>
      </c>
      <c r="B28" s="36" t="s">
        <v>118</v>
      </c>
      <c r="C28" s="37">
        <v>18</v>
      </c>
      <c r="D28" s="35">
        <f t="shared" si="1"/>
        <v>396</v>
      </c>
      <c r="F28" s="56"/>
      <c r="G28" s="56"/>
      <c r="H28" s="39"/>
    </row>
    <row r="29" spans="1:8" x14ac:dyDescent="0.4">
      <c r="A29" s="34">
        <v>4</v>
      </c>
      <c r="B29" s="34" t="s">
        <v>94</v>
      </c>
      <c r="C29" s="35">
        <v>199.94</v>
      </c>
      <c r="D29" s="35">
        <f t="shared" si="1"/>
        <v>799.76</v>
      </c>
      <c r="F29" s="56"/>
      <c r="G29" s="56"/>
      <c r="H29" s="39"/>
    </row>
    <row r="30" spans="1:8" x14ac:dyDescent="0.4">
      <c r="A30" s="36">
        <v>2</v>
      </c>
      <c r="B30" s="34" t="s">
        <v>117</v>
      </c>
      <c r="C30" s="37">
        <v>20</v>
      </c>
      <c r="D30" s="35">
        <f t="shared" si="1"/>
        <v>40</v>
      </c>
    </row>
    <row r="31" spans="1:8" x14ac:dyDescent="0.4">
      <c r="A31" s="34">
        <v>3</v>
      </c>
      <c r="B31" s="34" t="s">
        <v>119</v>
      </c>
      <c r="C31" s="35">
        <v>29</v>
      </c>
      <c r="D31" s="35">
        <f t="shared" si="1"/>
        <v>87</v>
      </c>
    </row>
    <row r="32" spans="1:8" x14ac:dyDescent="0.4">
      <c r="A32" s="34">
        <v>1</v>
      </c>
      <c r="B32" s="34" t="s">
        <v>150</v>
      </c>
      <c r="C32" s="35">
        <v>279</v>
      </c>
      <c r="D32" s="35">
        <f t="shared" si="1"/>
        <v>279</v>
      </c>
    </row>
    <row r="33" spans="1:4" x14ac:dyDescent="0.4">
      <c r="A33" s="34">
        <v>1</v>
      </c>
      <c r="B33" s="34" t="s">
        <v>151</v>
      </c>
      <c r="C33" s="35">
        <v>259</v>
      </c>
      <c r="D33" s="35">
        <f t="shared" si="1"/>
        <v>259</v>
      </c>
    </row>
    <row r="34" spans="1:4" x14ac:dyDescent="0.4">
      <c r="A34" s="34"/>
      <c r="B34" s="34"/>
      <c r="C34" s="35"/>
      <c r="D34" s="35">
        <f t="shared" si="1"/>
        <v>0</v>
      </c>
    </row>
    <row r="35" spans="1:4" x14ac:dyDescent="0.4">
      <c r="B35" s="34"/>
      <c r="C35" s="35"/>
    </row>
    <row r="36" spans="1:4" x14ac:dyDescent="0.4">
      <c r="C36" s="33" t="s">
        <v>50</v>
      </c>
      <c r="D36" s="33">
        <f>SUM(D3:D35)</f>
        <v>4211.6099999999997</v>
      </c>
    </row>
    <row r="37" spans="1:4" x14ac:dyDescent="0.4">
      <c r="B37" s="3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1"/>
  <sheetViews>
    <sheetView workbookViewId="0">
      <selection activeCell="E2" sqref="E2"/>
    </sheetView>
  </sheetViews>
  <sheetFormatPr defaultRowHeight="15" x14ac:dyDescent="0.25"/>
  <cols>
    <col min="3" max="3" width="5" customWidth="1"/>
    <col min="6" max="6" width="3.5703125" customWidth="1"/>
    <col min="12" max="12" width="17" customWidth="1"/>
    <col min="14" max="14" width="5.42578125" customWidth="1"/>
    <col min="15" max="15" width="3.28515625" customWidth="1"/>
  </cols>
  <sheetData>
    <row r="3" spans="1:15" ht="15.75" thickBot="1" x14ac:dyDescent="0.3"/>
    <row r="4" spans="1:15" x14ac:dyDescent="0.25">
      <c r="A4" s="229"/>
      <c r="B4" s="230"/>
      <c r="C4" s="230"/>
      <c r="D4" s="230"/>
      <c r="E4" s="230"/>
      <c r="F4" s="230"/>
      <c r="G4" s="230"/>
      <c r="H4" s="230"/>
      <c r="I4" s="231"/>
      <c r="J4" s="233"/>
      <c r="K4" s="243"/>
      <c r="L4" s="244"/>
      <c r="M4" s="244"/>
      <c r="N4" s="244"/>
      <c r="O4" s="245"/>
    </row>
    <row r="5" spans="1:15" x14ac:dyDescent="0.25">
      <c r="B5" s="242" t="s">
        <v>156</v>
      </c>
      <c r="C5" s="233"/>
      <c r="D5" s="233"/>
      <c r="E5" s="233"/>
      <c r="F5" s="233"/>
      <c r="G5" s="233"/>
      <c r="H5" s="233"/>
      <c r="I5" s="234"/>
      <c r="J5" s="233"/>
      <c r="K5" s="246"/>
      <c r="L5" s="247" t="s">
        <v>159</v>
      </c>
      <c r="M5" s="248"/>
      <c r="N5" s="249"/>
      <c r="O5" s="250"/>
    </row>
    <row r="6" spans="1:15" x14ac:dyDescent="0.25">
      <c r="A6" s="232"/>
      <c r="B6" s="233"/>
      <c r="C6" s="233"/>
      <c r="D6" s="233"/>
      <c r="E6" s="233"/>
      <c r="F6" s="233"/>
      <c r="G6" s="233"/>
      <c r="H6" s="233"/>
      <c r="I6" s="234"/>
      <c r="J6" s="233"/>
      <c r="K6" s="246"/>
      <c r="L6" s="248"/>
      <c r="M6" s="248"/>
      <c r="N6" s="249"/>
      <c r="O6" s="250"/>
    </row>
    <row r="7" spans="1:15" x14ac:dyDescent="0.25">
      <c r="A7" s="259" t="s">
        <v>141</v>
      </c>
      <c r="B7" s="236">
        <v>350</v>
      </c>
      <c r="C7" s="233"/>
      <c r="D7" s="257" t="s">
        <v>141</v>
      </c>
      <c r="E7" s="237">
        <v>500</v>
      </c>
      <c r="F7" s="233"/>
      <c r="G7" s="258" t="s">
        <v>141</v>
      </c>
      <c r="H7" s="238">
        <v>600</v>
      </c>
      <c r="I7" s="234"/>
      <c r="J7" s="233"/>
      <c r="K7" s="246"/>
      <c r="L7" s="256" t="s">
        <v>157</v>
      </c>
      <c r="M7" s="249">
        <v>12.6</v>
      </c>
      <c r="N7" s="249"/>
      <c r="O7" s="250"/>
    </row>
    <row r="8" spans="1:15" x14ac:dyDescent="0.25">
      <c r="A8" s="259" t="s">
        <v>142</v>
      </c>
      <c r="B8" s="236">
        <v>10000</v>
      </c>
      <c r="C8" s="233"/>
      <c r="D8" s="257" t="s">
        <v>142</v>
      </c>
      <c r="E8" s="237">
        <v>1000</v>
      </c>
      <c r="F8" s="233"/>
      <c r="G8" s="258" t="s">
        <v>142</v>
      </c>
      <c r="H8" s="238">
        <v>1000</v>
      </c>
      <c r="I8" s="234"/>
      <c r="J8" s="233"/>
      <c r="K8" s="246"/>
      <c r="L8" s="256" t="s">
        <v>141</v>
      </c>
      <c r="M8" s="249">
        <v>10000</v>
      </c>
      <c r="N8" s="249"/>
      <c r="O8" s="250"/>
    </row>
    <row r="9" spans="1:15" x14ac:dyDescent="0.25">
      <c r="A9" s="235"/>
      <c r="B9" s="236"/>
      <c r="C9" s="233"/>
      <c r="D9" s="257" t="s">
        <v>143</v>
      </c>
      <c r="E9" s="237">
        <v>10000</v>
      </c>
      <c r="F9" s="233"/>
      <c r="G9" s="258" t="s">
        <v>143</v>
      </c>
      <c r="H9" s="238">
        <v>2700</v>
      </c>
      <c r="I9" s="234"/>
      <c r="J9" s="233"/>
      <c r="K9" s="246"/>
      <c r="L9" s="256" t="s">
        <v>142</v>
      </c>
      <c r="M9" s="249">
        <v>10000</v>
      </c>
      <c r="N9" s="249"/>
      <c r="O9" s="250"/>
    </row>
    <row r="10" spans="1:15" x14ac:dyDescent="0.25">
      <c r="A10" s="235"/>
      <c r="B10" s="236"/>
      <c r="C10" s="233"/>
      <c r="D10" s="237"/>
      <c r="E10" s="237"/>
      <c r="F10" s="233"/>
      <c r="G10" s="238" t="s">
        <v>144</v>
      </c>
      <c r="H10" s="238">
        <v>10000</v>
      </c>
      <c r="I10" s="234"/>
      <c r="J10" s="233"/>
      <c r="K10" s="246"/>
      <c r="L10" s="256" t="s">
        <v>143</v>
      </c>
      <c r="M10" s="249">
        <v>10000</v>
      </c>
      <c r="N10" s="249"/>
      <c r="O10" s="250"/>
    </row>
    <row r="11" spans="1:15" x14ac:dyDescent="0.25">
      <c r="A11" s="235"/>
      <c r="B11" s="236"/>
      <c r="C11" s="233"/>
      <c r="D11" s="237"/>
      <c r="E11" s="237"/>
      <c r="F11" s="233"/>
      <c r="G11" s="238"/>
      <c r="H11" s="238"/>
      <c r="I11" s="234"/>
      <c r="J11" s="233"/>
      <c r="K11" s="246"/>
      <c r="L11" s="256" t="s">
        <v>158</v>
      </c>
      <c r="M11" s="249">
        <v>10010</v>
      </c>
      <c r="N11" s="249"/>
      <c r="O11" s="250"/>
    </row>
    <row r="12" spans="1:15" x14ac:dyDescent="0.25">
      <c r="A12" s="235" t="s">
        <v>145</v>
      </c>
      <c r="B12" s="236">
        <f>1/(1/B7+1/B8)</f>
        <v>338.16425120772948</v>
      </c>
      <c r="C12" s="233"/>
      <c r="D12" s="237" t="s">
        <v>140</v>
      </c>
      <c r="E12" s="237">
        <f>1/(1/E7+1/E8+1/E9)</f>
        <v>322.58064516129031</v>
      </c>
      <c r="F12" s="233"/>
      <c r="G12" s="238" t="s">
        <v>140</v>
      </c>
      <c r="H12" s="238">
        <f>1/(1/H7+1/H8+1/H9+1/H10)</f>
        <v>318.77213695395511</v>
      </c>
      <c r="I12" s="234"/>
      <c r="J12" s="233"/>
      <c r="K12" s="246"/>
      <c r="L12" s="248"/>
      <c r="M12" s="248"/>
      <c r="N12" s="249"/>
      <c r="O12" s="250"/>
    </row>
    <row r="13" spans="1:15" x14ac:dyDescent="0.25">
      <c r="A13" s="232"/>
      <c r="B13" s="233"/>
      <c r="C13" s="233"/>
      <c r="D13" s="233"/>
      <c r="E13" s="233"/>
      <c r="F13" s="233"/>
      <c r="G13" s="233"/>
      <c r="H13" s="233"/>
      <c r="I13" s="234"/>
      <c r="J13" s="233"/>
      <c r="K13" s="246"/>
      <c r="L13" s="249" t="s">
        <v>161</v>
      </c>
      <c r="M13" s="251">
        <f>((M11/(M10+M11))-(M9/(M8+M9)))*M7</f>
        <v>3.1484257871064124E-3</v>
      </c>
      <c r="N13" s="249"/>
      <c r="O13" s="250"/>
    </row>
    <row r="14" spans="1:15" x14ac:dyDescent="0.25">
      <c r="A14" s="232"/>
      <c r="B14" s="233"/>
      <c r="C14" s="233"/>
      <c r="D14" s="233"/>
      <c r="E14" s="233"/>
      <c r="F14" s="233"/>
      <c r="G14" s="233"/>
      <c r="H14" s="233"/>
      <c r="I14" s="234"/>
      <c r="J14" s="233"/>
      <c r="K14" s="246"/>
      <c r="L14" s="249"/>
      <c r="M14" s="249"/>
      <c r="N14" s="249"/>
      <c r="O14" s="250"/>
    </row>
    <row r="15" spans="1:15" ht="15.75" thickBot="1" x14ac:dyDescent="0.3">
      <c r="A15" s="239"/>
      <c r="B15" s="240"/>
      <c r="C15" s="240"/>
      <c r="D15" s="240"/>
      <c r="E15" s="240"/>
      <c r="F15" s="240"/>
      <c r="G15" s="240"/>
      <c r="H15" s="240"/>
      <c r="I15" s="241"/>
      <c r="J15" s="233"/>
      <c r="K15" s="252"/>
      <c r="L15" s="253"/>
      <c r="M15" s="253"/>
      <c r="N15" s="253"/>
      <c r="O15" s="254"/>
    </row>
    <row r="18" spans="1:2" x14ac:dyDescent="0.25">
      <c r="B18" s="260"/>
    </row>
    <row r="20" spans="1:2" x14ac:dyDescent="0.25">
      <c r="A20" s="261"/>
    </row>
    <row r="21" spans="1:2" x14ac:dyDescent="0.25">
      <c r="A21" s="26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showRowColHeaders="0" zoomScale="80" zoomScaleNormal="80" workbookViewId="0">
      <pane ySplit="6" topLeftCell="A7" activePane="bottomLeft" state="frozen"/>
      <selection pane="bottomLeft" activeCell="F4" sqref="F4"/>
    </sheetView>
  </sheetViews>
  <sheetFormatPr defaultRowHeight="15" x14ac:dyDescent="0.25"/>
  <cols>
    <col min="10" max="10" width="14.7109375" customWidth="1"/>
  </cols>
  <sheetData>
    <row r="1" spans="1:11" ht="21.75" thickBot="1" x14ac:dyDescent="0.4">
      <c r="A1" s="175" t="s">
        <v>146</v>
      </c>
      <c r="B1" s="176"/>
      <c r="C1" s="177"/>
      <c r="D1" s="177"/>
      <c r="E1" s="178"/>
      <c r="F1" s="179"/>
      <c r="G1" s="180"/>
      <c r="H1" s="180"/>
      <c r="I1" s="180"/>
      <c r="J1" s="180"/>
    </row>
    <row r="2" spans="1:11" ht="16.5" thickBot="1" x14ac:dyDescent="0.3">
      <c r="A2" s="176"/>
      <c r="B2" s="176"/>
      <c r="C2" s="177"/>
      <c r="D2" s="177"/>
      <c r="E2" s="181" t="s">
        <v>154</v>
      </c>
      <c r="F2" s="182">
        <v>13.4</v>
      </c>
      <c r="G2" s="183" t="s">
        <v>9</v>
      </c>
      <c r="H2" s="180"/>
      <c r="I2" s="180"/>
      <c r="J2" s="180"/>
    </row>
    <row r="3" spans="1:11" ht="16.5" thickBot="1" x14ac:dyDescent="0.3">
      <c r="A3" s="176"/>
      <c r="B3" s="176"/>
      <c r="C3" s="177"/>
      <c r="D3" s="177"/>
      <c r="E3" s="184" t="s">
        <v>153</v>
      </c>
      <c r="F3" s="182">
        <v>14.8</v>
      </c>
      <c r="G3" s="183" t="s">
        <v>9</v>
      </c>
      <c r="H3" s="180"/>
      <c r="I3" s="180"/>
      <c r="J3" s="180"/>
    </row>
    <row r="4" spans="1:11" ht="16.5" thickBot="1" x14ac:dyDescent="0.3">
      <c r="A4" s="176"/>
      <c r="B4" s="176"/>
      <c r="C4" s="177"/>
      <c r="D4" s="177"/>
      <c r="E4" s="184" t="s">
        <v>147</v>
      </c>
      <c r="F4" s="185">
        <v>2.8000000000000001E-2</v>
      </c>
      <c r="G4" s="255" t="s">
        <v>160</v>
      </c>
      <c r="H4" s="180"/>
      <c r="I4" s="180"/>
      <c r="J4" s="180"/>
    </row>
    <row r="5" spans="1:11" ht="15.75" thickBot="1" x14ac:dyDescent="0.3">
      <c r="A5" s="176"/>
      <c r="B5" s="176"/>
      <c r="C5" s="177"/>
      <c r="D5" s="177"/>
      <c r="E5" s="180"/>
      <c r="F5" s="180"/>
      <c r="G5" s="180"/>
      <c r="H5" s="180"/>
      <c r="I5" s="196"/>
      <c r="J5" s="196"/>
      <c r="K5" s="196"/>
    </row>
    <row r="6" spans="1:11" ht="16.5" thickBot="1" x14ac:dyDescent="0.3">
      <c r="A6" s="186"/>
      <c r="B6" s="186"/>
      <c r="C6" s="187" t="s">
        <v>148</v>
      </c>
      <c r="D6" s="187" t="s">
        <v>149</v>
      </c>
      <c r="E6" s="188">
        <f>F2</f>
        <v>13.4</v>
      </c>
      <c r="F6" s="189">
        <f>F3</f>
        <v>14.8</v>
      </c>
      <c r="G6" s="190"/>
      <c r="H6" s="180"/>
      <c r="I6" s="226"/>
      <c r="J6" s="226"/>
      <c r="K6" s="196"/>
    </row>
    <row r="7" spans="1:11" ht="15.75" x14ac:dyDescent="0.25">
      <c r="A7" s="186"/>
      <c r="B7" s="191"/>
      <c r="C7" s="192">
        <v>0</v>
      </c>
      <c r="D7" s="193">
        <f>(1.8*C7+32)</f>
        <v>32</v>
      </c>
      <c r="E7" s="194">
        <f t="shared" ref="E7:E31" si="0">(($C$32-C7)*$F$4)+$F$2</f>
        <v>14.1</v>
      </c>
      <c r="F7" s="195">
        <f t="shared" ref="F7:F31" si="1">(($C$32-C7)*$F$4)+$F$6</f>
        <v>15.5</v>
      </c>
      <c r="G7" s="196"/>
      <c r="H7" s="180"/>
      <c r="I7" s="227"/>
      <c r="J7" s="219"/>
      <c r="K7" s="196"/>
    </row>
    <row r="8" spans="1:11" ht="15.75" x14ac:dyDescent="0.25">
      <c r="A8" s="186"/>
      <c r="B8" s="191"/>
      <c r="C8" s="197">
        <f>C7+1</f>
        <v>1</v>
      </c>
      <c r="D8" s="198">
        <f t="shared" ref="D8:D52" si="2">(1.8*C8+32)</f>
        <v>33.799999999999997</v>
      </c>
      <c r="E8" s="199">
        <f t="shared" si="0"/>
        <v>14.072000000000001</v>
      </c>
      <c r="F8" s="200">
        <f t="shared" si="1"/>
        <v>15.472000000000001</v>
      </c>
      <c r="G8" s="196"/>
      <c r="H8" s="180"/>
      <c r="I8" s="227"/>
      <c r="J8" s="219"/>
      <c r="K8" s="196"/>
    </row>
    <row r="9" spans="1:11" ht="15.75" x14ac:dyDescent="0.25">
      <c r="A9" s="186"/>
      <c r="B9" s="191"/>
      <c r="C9" s="201">
        <f t="shared" ref="C9:C47" si="3">C8+1</f>
        <v>2</v>
      </c>
      <c r="D9" s="202">
        <f t="shared" si="2"/>
        <v>35.6</v>
      </c>
      <c r="E9" s="194">
        <f t="shared" si="0"/>
        <v>14.044</v>
      </c>
      <c r="F9" s="195">
        <f t="shared" si="1"/>
        <v>15.444000000000001</v>
      </c>
      <c r="G9" s="196"/>
      <c r="H9" s="180"/>
      <c r="I9" s="227"/>
      <c r="J9" s="219"/>
      <c r="K9" s="196"/>
    </row>
    <row r="10" spans="1:11" ht="15.75" x14ac:dyDescent="0.25">
      <c r="A10" s="186"/>
      <c r="B10" s="191"/>
      <c r="C10" s="197">
        <f t="shared" si="3"/>
        <v>3</v>
      </c>
      <c r="D10" s="198">
        <f t="shared" si="2"/>
        <v>37.4</v>
      </c>
      <c r="E10" s="199">
        <f t="shared" si="0"/>
        <v>14.016</v>
      </c>
      <c r="F10" s="200">
        <f t="shared" si="1"/>
        <v>15.416</v>
      </c>
      <c r="G10" s="196"/>
      <c r="H10" s="180"/>
      <c r="I10" s="227"/>
      <c r="J10" s="219"/>
      <c r="K10" s="196"/>
    </row>
    <row r="11" spans="1:11" ht="15.75" x14ac:dyDescent="0.25">
      <c r="A11" s="186"/>
      <c r="B11" s="191"/>
      <c r="C11" s="201">
        <f t="shared" si="3"/>
        <v>4</v>
      </c>
      <c r="D11" s="202">
        <f t="shared" si="2"/>
        <v>39.200000000000003</v>
      </c>
      <c r="E11" s="194">
        <f t="shared" si="0"/>
        <v>13.988</v>
      </c>
      <c r="F11" s="195">
        <f t="shared" si="1"/>
        <v>15.388</v>
      </c>
      <c r="G11" s="196"/>
      <c r="H11" s="180"/>
      <c r="I11" s="227"/>
      <c r="J11" s="219"/>
      <c r="K11" s="196"/>
    </row>
    <row r="12" spans="1:11" ht="15.75" x14ac:dyDescent="0.25">
      <c r="A12" s="186"/>
      <c r="B12" s="191"/>
      <c r="C12" s="197">
        <f t="shared" si="3"/>
        <v>5</v>
      </c>
      <c r="D12" s="198">
        <f t="shared" si="2"/>
        <v>41</v>
      </c>
      <c r="E12" s="199">
        <f t="shared" si="0"/>
        <v>13.96</v>
      </c>
      <c r="F12" s="200">
        <f t="shared" si="1"/>
        <v>15.360000000000001</v>
      </c>
      <c r="G12" s="196"/>
      <c r="H12" s="180"/>
      <c r="I12" s="227"/>
      <c r="J12" s="219"/>
      <c r="K12" s="196"/>
    </row>
    <row r="13" spans="1:11" ht="15.75" x14ac:dyDescent="0.25">
      <c r="A13" s="186"/>
      <c r="B13" s="191"/>
      <c r="C13" s="201">
        <f t="shared" si="3"/>
        <v>6</v>
      </c>
      <c r="D13" s="202">
        <f t="shared" si="2"/>
        <v>42.8</v>
      </c>
      <c r="E13" s="194">
        <f t="shared" si="0"/>
        <v>13.932</v>
      </c>
      <c r="F13" s="195">
        <f t="shared" si="1"/>
        <v>15.332000000000001</v>
      </c>
      <c r="G13" s="196"/>
      <c r="H13" s="180"/>
      <c r="I13" s="227"/>
      <c r="J13" s="219"/>
      <c r="K13" s="196"/>
    </row>
    <row r="14" spans="1:11" ht="15.75" x14ac:dyDescent="0.25">
      <c r="A14" s="186"/>
      <c r="B14" s="191"/>
      <c r="C14" s="197">
        <f t="shared" si="3"/>
        <v>7</v>
      </c>
      <c r="D14" s="198">
        <f t="shared" si="2"/>
        <v>44.6</v>
      </c>
      <c r="E14" s="199">
        <f t="shared" si="0"/>
        <v>13.904</v>
      </c>
      <c r="F14" s="200">
        <f t="shared" si="1"/>
        <v>15.304</v>
      </c>
      <c r="G14" s="196"/>
      <c r="H14" s="180"/>
      <c r="I14" s="227"/>
      <c r="J14" s="219"/>
      <c r="K14" s="196"/>
    </row>
    <row r="15" spans="1:11" ht="15.75" x14ac:dyDescent="0.25">
      <c r="A15" s="186"/>
      <c r="B15" s="191"/>
      <c r="C15" s="201">
        <f t="shared" si="3"/>
        <v>8</v>
      </c>
      <c r="D15" s="202">
        <f t="shared" si="2"/>
        <v>46.4</v>
      </c>
      <c r="E15" s="194">
        <f t="shared" si="0"/>
        <v>13.876000000000001</v>
      </c>
      <c r="F15" s="195">
        <f t="shared" si="1"/>
        <v>15.276000000000002</v>
      </c>
      <c r="G15" s="196"/>
      <c r="H15" s="180"/>
      <c r="I15" s="227"/>
      <c r="J15" s="219"/>
      <c r="K15" s="196"/>
    </row>
    <row r="16" spans="1:11" ht="15.75" x14ac:dyDescent="0.25">
      <c r="A16" s="186"/>
      <c r="B16" s="191"/>
      <c r="C16" s="197">
        <f t="shared" si="3"/>
        <v>9</v>
      </c>
      <c r="D16" s="198">
        <f t="shared" si="2"/>
        <v>48.2</v>
      </c>
      <c r="E16" s="199">
        <f t="shared" si="0"/>
        <v>13.848000000000001</v>
      </c>
      <c r="F16" s="200">
        <f t="shared" si="1"/>
        <v>15.248000000000001</v>
      </c>
      <c r="G16" s="196"/>
      <c r="H16" s="180"/>
      <c r="I16" s="227"/>
      <c r="J16" s="219"/>
      <c r="K16" s="196"/>
    </row>
    <row r="17" spans="1:11" ht="15.75" x14ac:dyDescent="0.25">
      <c r="A17" s="186"/>
      <c r="B17" s="191"/>
      <c r="C17" s="201">
        <f t="shared" si="3"/>
        <v>10</v>
      </c>
      <c r="D17" s="202">
        <f t="shared" si="2"/>
        <v>50</v>
      </c>
      <c r="E17" s="194">
        <f t="shared" si="0"/>
        <v>13.82</v>
      </c>
      <c r="F17" s="195">
        <f t="shared" si="1"/>
        <v>15.22</v>
      </c>
      <c r="G17" s="196"/>
      <c r="H17" s="180"/>
      <c r="I17" s="227"/>
      <c r="J17" s="219"/>
      <c r="K17" s="196"/>
    </row>
    <row r="18" spans="1:11" ht="15.75" x14ac:dyDescent="0.25">
      <c r="A18" s="186"/>
      <c r="B18" s="191"/>
      <c r="C18" s="197">
        <f t="shared" si="3"/>
        <v>11</v>
      </c>
      <c r="D18" s="198">
        <f t="shared" si="2"/>
        <v>51.8</v>
      </c>
      <c r="E18" s="199">
        <f t="shared" si="0"/>
        <v>13.792</v>
      </c>
      <c r="F18" s="200">
        <f t="shared" si="1"/>
        <v>15.192</v>
      </c>
      <c r="G18" s="196"/>
      <c r="H18" s="180"/>
      <c r="I18" s="228"/>
      <c r="J18" s="228"/>
      <c r="K18" s="196"/>
    </row>
    <row r="19" spans="1:11" ht="15.75" x14ac:dyDescent="0.25">
      <c r="A19" s="186"/>
      <c r="B19" s="191"/>
      <c r="C19" s="201">
        <f t="shared" si="3"/>
        <v>12</v>
      </c>
      <c r="D19" s="202">
        <f t="shared" si="2"/>
        <v>53.6</v>
      </c>
      <c r="E19" s="194">
        <f t="shared" si="0"/>
        <v>13.764000000000001</v>
      </c>
      <c r="F19" s="195">
        <f t="shared" si="1"/>
        <v>15.164000000000001</v>
      </c>
      <c r="G19" s="196"/>
      <c r="H19" s="180"/>
      <c r="I19" s="225"/>
      <c r="J19" s="225"/>
      <c r="K19" s="180"/>
    </row>
    <row r="20" spans="1:11" ht="15.75" x14ac:dyDescent="0.25">
      <c r="A20" s="186"/>
      <c r="B20" s="191"/>
      <c r="C20" s="197">
        <f t="shared" si="3"/>
        <v>13</v>
      </c>
      <c r="D20" s="198">
        <f t="shared" si="2"/>
        <v>55.400000000000006</v>
      </c>
      <c r="E20" s="199">
        <f t="shared" si="0"/>
        <v>13.736000000000001</v>
      </c>
      <c r="F20" s="200">
        <f t="shared" si="1"/>
        <v>15.136000000000001</v>
      </c>
      <c r="G20" s="196"/>
      <c r="H20" s="203"/>
      <c r="I20" s="204"/>
      <c r="J20" s="205"/>
      <c r="K20" s="180"/>
    </row>
    <row r="21" spans="1:11" ht="15.75" x14ac:dyDescent="0.25">
      <c r="A21" s="186"/>
      <c r="B21" s="191"/>
      <c r="C21" s="201">
        <f t="shared" si="3"/>
        <v>14</v>
      </c>
      <c r="D21" s="202">
        <f t="shared" si="2"/>
        <v>57.2</v>
      </c>
      <c r="E21" s="194">
        <f t="shared" si="0"/>
        <v>13.708</v>
      </c>
      <c r="F21" s="195">
        <f t="shared" si="1"/>
        <v>15.108000000000001</v>
      </c>
      <c r="G21" s="196"/>
      <c r="H21" s="196"/>
      <c r="I21" s="206"/>
      <c r="J21" s="207"/>
      <c r="K21" s="180"/>
    </row>
    <row r="22" spans="1:11" ht="15.75" x14ac:dyDescent="0.25">
      <c r="A22" s="186"/>
      <c r="B22" s="191"/>
      <c r="C22" s="197">
        <f t="shared" si="3"/>
        <v>15</v>
      </c>
      <c r="D22" s="198">
        <f t="shared" si="2"/>
        <v>59</v>
      </c>
      <c r="E22" s="199">
        <f t="shared" si="0"/>
        <v>13.68</v>
      </c>
      <c r="F22" s="200">
        <f t="shared" si="1"/>
        <v>15.08</v>
      </c>
      <c r="G22" s="196"/>
      <c r="H22" s="196"/>
      <c r="I22" s="206"/>
      <c r="J22" s="207"/>
      <c r="K22" s="180"/>
    </row>
    <row r="23" spans="1:11" ht="15.75" x14ac:dyDescent="0.25">
      <c r="A23" s="186"/>
      <c r="B23" s="191"/>
      <c r="C23" s="201">
        <f t="shared" si="3"/>
        <v>16</v>
      </c>
      <c r="D23" s="202">
        <f t="shared" si="2"/>
        <v>60.8</v>
      </c>
      <c r="E23" s="194">
        <f t="shared" si="0"/>
        <v>13.652000000000001</v>
      </c>
      <c r="F23" s="195">
        <f t="shared" si="1"/>
        <v>15.052000000000001</v>
      </c>
      <c r="G23" s="196"/>
      <c r="H23" s="196"/>
      <c r="I23" s="206"/>
      <c r="J23" s="207"/>
    </row>
    <row r="24" spans="1:11" ht="15.75" x14ac:dyDescent="0.25">
      <c r="A24" s="186"/>
      <c r="B24" s="191"/>
      <c r="C24" s="197">
        <f t="shared" si="3"/>
        <v>17</v>
      </c>
      <c r="D24" s="198">
        <f t="shared" si="2"/>
        <v>62.6</v>
      </c>
      <c r="E24" s="199">
        <f t="shared" si="0"/>
        <v>13.624000000000001</v>
      </c>
      <c r="F24" s="200">
        <f t="shared" si="1"/>
        <v>15.024000000000001</v>
      </c>
      <c r="G24" s="196"/>
      <c r="H24" s="196"/>
      <c r="I24" s="208"/>
      <c r="J24" s="207"/>
    </row>
    <row r="25" spans="1:11" ht="15.75" x14ac:dyDescent="0.25">
      <c r="A25" s="186"/>
      <c r="B25" s="191"/>
      <c r="C25" s="201">
        <f t="shared" si="3"/>
        <v>18</v>
      </c>
      <c r="D25" s="202">
        <f t="shared" si="2"/>
        <v>64.400000000000006</v>
      </c>
      <c r="E25" s="194">
        <f t="shared" si="0"/>
        <v>13.596</v>
      </c>
      <c r="F25" s="195">
        <f t="shared" si="1"/>
        <v>14.996</v>
      </c>
      <c r="G25" s="196"/>
      <c r="H25" s="196"/>
      <c r="I25" s="208"/>
      <c r="J25" s="207"/>
    </row>
    <row r="26" spans="1:11" ht="15.75" x14ac:dyDescent="0.25">
      <c r="A26" s="186"/>
      <c r="B26" s="191"/>
      <c r="C26" s="197">
        <f t="shared" si="3"/>
        <v>19</v>
      </c>
      <c r="D26" s="198">
        <f t="shared" si="2"/>
        <v>66.2</v>
      </c>
      <c r="E26" s="199">
        <f t="shared" si="0"/>
        <v>13.568</v>
      </c>
      <c r="F26" s="200">
        <f t="shared" si="1"/>
        <v>14.968</v>
      </c>
      <c r="G26" s="196"/>
      <c r="H26" s="196"/>
      <c r="I26" s="208"/>
      <c r="J26" s="207"/>
    </row>
    <row r="27" spans="1:11" ht="15.75" x14ac:dyDescent="0.25">
      <c r="A27" s="186"/>
      <c r="B27" s="191"/>
      <c r="C27" s="201">
        <f t="shared" si="3"/>
        <v>20</v>
      </c>
      <c r="D27" s="202">
        <f t="shared" si="2"/>
        <v>68</v>
      </c>
      <c r="E27" s="194">
        <f t="shared" si="0"/>
        <v>13.540000000000001</v>
      </c>
      <c r="F27" s="195">
        <f t="shared" si="1"/>
        <v>14.940000000000001</v>
      </c>
      <c r="G27" s="196"/>
      <c r="H27" s="196"/>
      <c r="I27" s="208"/>
      <c r="J27" s="207"/>
    </row>
    <row r="28" spans="1:11" ht="15.75" x14ac:dyDescent="0.25">
      <c r="A28" s="186"/>
      <c r="B28" s="191"/>
      <c r="C28" s="197">
        <f t="shared" si="3"/>
        <v>21</v>
      </c>
      <c r="D28" s="198">
        <f t="shared" si="2"/>
        <v>69.800000000000011</v>
      </c>
      <c r="E28" s="199">
        <f t="shared" si="0"/>
        <v>13.512</v>
      </c>
      <c r="F28" s="200">
        <f t="shared" si="1"/>
        <v>14.912000000000001</v>
      </c>
      <c r="G28" s="196"/>
      <c r="H28" s="196"/>
      <c r="I28" s="208"/>
      <c r="J28" s="207"/>
    </row>
    <row r="29" spans="1:11" ht="15.75" x14ac:dyDescent="0.25">
      <c r="A29" s="186"/>
      <c r="B29" s="191"/>
      <c r="C29" s="201">
        <f t="shared" si="3"/>
        <v>22</v>
      </c>
      <c r="D29" s="202">
        <f t="shared" si="2"/>
        <v>71.599999999999994</v>
      </c>
      <c r="E29" s="194">
        <f t="shared" si="0"/>
        <v>13.484</v>
      </c>
      <c r="F29" s="195">
        <f t="shared" si="1"/>
        <v>14.884</v>
      </c>
      <c r="G29" s="196"/>
      <c r="H29" s="196"/>
      <c r="I29" s="208"/>
      <c r="J29" s="207"/>
    </row>
    <row r="30" spans="1:11" ht="15.75" x14ac:dyDescent="0.25">
      <c r="A30" s="186"/>
      <c r="B30" s="191"/>
      <c r="C30" s="197">
        <f t="shared" si="3"/>
        <v>23</v>
      </c>
      <c r="D30" s="198">
        <f t="shared" si="2"/>
        <v>73.400000000000006</v>
      </c>
      <c r="E30" s="199">
        <f t="shared" si="0"/>
        <v>13.456</v>
      </c>
      <c r="F30" s="200">
        <f t="shared" si="1"/>
        <v>14.856</v>
      </c>
      <c r="G30" s="196"/>
      <c r="H30" s="196"/>
      <c r="I30" s="208"/>
      <c r="J30" s="207"/>
    </row>
    <row r="31" spans="1:11" ht="16.5" thickBot="1" x14ac:dyDescent="0.3">
      <c r="A31" s="186"/>
      <c r="B31" s="191"/>
      <c r="C31" s="209">
        <f t="shared" si="3"/>
        <v>24</v>
      </c>
      <c r="D31" s="210">
        <f t="shared" si="2"/>
        <v>75.2</v>
      </c>
      <c r="E31" s="211">
        <f t="shared" si="0"/>
        <v>13.428000000000001</v>
      </c>
      <c r="F31" s="212">
        <f t="shared" si="1"/>
        <v>14.828000000000001</v>
      </c>
      <c r="G31" s="196"/>
      <c r="H31" s="196"/>
      <c r="I31" s="208"/>
      <c r="J31" s="207"/>
    </row>
    <row r="32" spans="1:11" ht="16.5" thickBot="1" x14ac:dyDescent="0.3">
      <c r="A32" s="186"/>
      <c r="B32" s="191"/>
      <c r="C32" s="213">
        <f t="shared" si="3"/>
        <v>25</v>
      </c>
      <c r="D32" s="214">
        <f t="shared" si="2"/>
        <v>77</v>
      </c>
      <c r="E32" s="215">
        <f>F2</f>
        <v>13.4</v>
      </c>
      <c r="F32" s="216">
        <f>F3</f>
        <v>14.8</v>
      </c>
      <c r="G32" s="196"/>
      <c r="H32" s="196"/>
      <c r="I32" s="217"/>
      <c r="J32" s="217"/>
    </row>
    <row r="33" spans="1:10" ht="15.75" x14ac:dyDescent="0.25">
      <c r="A33" s="186"/>
      <c r="B33" s="191"/>
      <c r="C33" s="201">
        <f t="shared" si="3"/>
        <v>26</v>
      </c>
      <c r="D33" s="202">
        <f t="shared" si="2"/>
        <v>78.800000000000011</v>
      </c>
      <c r="E33" s="194">
        <f t="shared" ref="E33:E52" si="4">$E$6-((C33-$C$32)*$F$4)</f>
        <v>13.372</v>
      </c>
      <c r="F33" s="195">
        <f t="shared" ref="F33:F52" si="5">$F$6-((C33-$C$32)*$F$4)</f>
        <v>14.772</v>
      </c>
      <c r="G33" s="196"/>
      <c r="H33" s="196"/>
      <c r="I33" s="217"/>
      <c r="J33" s="217"/>
    </row>
    <row r="34" spans="1:10" ht="15.75" x14ac:dyDescent="0.25">
      <c r="A34" s="186"/>
      <c r="B34" s="191"/>
      <c r="C34" s="197">
        <f t="shared" si="3"/>
        <v>27</v>
      </c>
      <c r="D34" s="198">
        <f t="shared" si="2"/>
        <v>80.599999999999994</v>
      </c>
      <c r="E34" s="199">
        <f t="shared" si="4"/>
        <v>13.344000000000001</v>
      </c>
      <c r="F34" s="200">
        <f t="shared" si="5"/>
        <v>14.744000000000002</v>
      </c>
      <c r="G34" s="196"/>
      <c r="H34" s="196"/>
      <c r="I34" s="217"/>
      <c r="J34" s="217"/>
    </row>
    <row r="35" spans="1:10" ht="15.75" x14ac:dyDescent="0.25">
      <c r="A35" s="186"/>
      <c r="B35" s="191"/>
      <c r="C35" s="201">
        <f t="shared" si="3"/>
        <v>28</v>
      </c>
      <c r="D35" s="202">
        <f t="shared" si="2"/>
        <v>82.4</v>
      </c>
      <c r="E35" s="194">
        <f t="shared" si="4"/>
        <v>13.316000000000001</v>
      </c>
      <c r="F35" s="195">
        <f t="shared" si="5"/>
        <v>14.716000000000001</v>
      </c>
      <c r="G35" s="196"/>
      <c r="H35" s="196"/>
      <c r="I35" s="205"/>
      <c r="J35" s="205"/>
    </row>
    <row r="36" spans="1:10" ht="15.75" x14ac:dyDescent="0.25">
      <c r="A36" s="186"/>
      <c r="B36" s="191"/>
      <c r="C36" s="197">
        <f t="shared" si="3"/>
        <v>29</v>
      </c>
      <c r="D36" s="198">
        <f t="shared" si="2"/>
        <v>84.2</v>
      </c>
      <c r="E36" s="199">
        <f t="shared" si="4"/>
        <v>13.288</v>
      </c>
      <c r="F36" s="200">
        <f t="shared" si="5"/>
        <v>14.688000000000001</v>
      </c>
      <c r="G36" s="196"/>
      <c r="H36" s="196"/>
      <c r="I36" s="208"/>
      <c r="J36" s="207"/>
    </row>
    <row r="37" spans="1:10" ht="15.75" x14ac:dyDescent="0.25">
      <c r="A37" s="186"/>
      <c r="B37" s="191"/>
      <c r="C37" s="201">
        <f t="shared" si="3"/>
        <v>30</v>
      </c>
      <c r="D37" s="202">
        <f t="shared" si="2"/>
        <v>86</v>
      </c>
      <c r="E37" s="194">
        <f t="shared" si="4"/>
        <v>13.26</v>
      </c>
      <c r="F37" s="195">
        <f t="shared" si="5"/>
        <v>14.66</v>
      </c>
      <c r="G37" s="196"/>
      <c r="H37" s="196"/>
      <c r="I37" s="208"/>
      <c r="J37" s="207"/>
    </row>
    <row r="38" spans="1:10" ht="15.75" x14ac:dyDescent="0.25">
      <c r="A38" s="186"/>
      <c r="B38" s="191"/>
      <c r="C38" s="197">
        <f t="shared" si="3"/>
        <v>31</v>
      </c>
      <c r="D38" s="198">
        <f t="shared" si="2"/>
        <v>87.800000000000011</v>
      </c>
      <c r="E38" s="199">
        <f t="shared" si="4"/>
        <v>13.232000000000001</v>
      </c>
      <c r="F38" s="200">
        <f t="shared" si="5"/>
        <v>14.632000000000001</v>
      </c>
      <c r="G38" s="196"/>
      <c r="H38" s="196"/>
      <c r="I38" s="208"/>
      <c r="J38" s="207"/>
    </row>
    <row r="39" spans="1:10" ht="15.75" x14ac:dyDescent="0.25">
      <c r="A39" s="186"/>
      <c r="B39" s="191"/>
      <c r="C39" s="201">
        <f t="shared" si="3"/>
        <v>32</v>
      </c>
      <c r="D39" s="202">
        <f t="shared" si="2"/>
        <v>89.6</v>
      </c>
      <c r="E39" s="194">
        <f t="shared" si="4"/>
        <v>13.204000000000001</v>
      </c>
      <c r="F39" s="195">
        <f t="shared" si="5"/>
        <v>14.604000000000001</v>
      </c>
      <c r="G39" s="196"/>
      <c r="H39" s="196"/>
      <c r="I39" s="208"/>
      <c r="J39" s="207"/>
    </row>
    <row r="40" spans="1:10" ht="15.75" x14ac:dyDescent="0.25">
      <c r="A40" s="186"/>
      <c r="B40" s="191"/>
      <c r="C40" s="197">
        <f t="shared" si="3"/>
        <v>33</v>
      </c>
      <c r="D40" s="198">
        <f t="shared" si="2"/>
        <v>91.4</v>
      </c>
      <c r="E40" s="199">
        <f t="shared" si="4"/>
        <v>13.176</v>
      </c>
      <c r="F40" s="200">
        <f t="shared" si="5"/>
        <v>14.576000000000001</v>
      </c>
      <c r="G40" s="196"/>
      <c r="H40" s="196"/>
      <c r="I40" s="218"/>
      <c r="J40" s="219"/>
    </row>
    <row r="41" spans="1:10" ht="15.75" x14ac:dyDescent="0.25">
      <c r="A41" s="186"/>
      <c r="B41" s="191"/>
      <c r="C41" s="201">
        <f t="shared" si="3"/>
        <v>34</v>
      </c>
      <c r="D41" s="202">
        <f t="shared" si="2"/>
        <v>93.2</v>
      </c>
      <c r="E41" s="194">
        <f t="shared" si="4"/>
        <v>13.148</v>
      </c>
      <c r="F41" s="195">
        <f t="shared" si="5"/>
        <v>14.548</v>
      </c>
      <c r="G41" s="196"/>
      <c r="H41" s="196"/>
      <c r="I41" s="218"/>
      <c r="J41" s="219"/>
    </row>
    <row r="42" spans="1:10" ht="15.75" x14ac:dyDescent="0.25">
      <c r="A42" s="186"/>
      <c r="B42" s="191"/>
      <c r="C42" s="197">
        <f t="shared" si="3"/>
        <v>35</v>
      </c>
      <c r="D42" s="198">
        <f t="shared" si="2"/>
        <v>95</v>
      </c>
      <c r="E42" s="199">
        <f t="shared" si="4"/>
        <v>13.120000000000001</v>
      </c>
      <c r="F42" s="200">
        <f t="shared" si="5"/>
        <v>14.520000000000001</v>
      </c>
      <c r="G42" s="196"/>
      <c r="H42" s="196"/>
      <c r="I42" s="218"/>
      <c r="J42" s="219"/>
    </row>
    <row r="43" spans="1:10" ht="15.75" x14ac:dyDescent="0.25">
      <c r="A43" s="186"/>
      <c r="B43" s="191"/>
      <c r="C43" s="201">
        <f t="shared" si="3"/>
        <v>36</v>
      </c>
      <c r="D43" s="202">
        <f t="shared" si="2"/>
        <v>96.8</v>
      </c>
      <c r="E43" s="194">
        <f t="shared" si="4"/>
        <v>13.092000000000001</v>
      </c>
      <c r="F43" s="195">
        <f t="shared" si="5"/>
        <v>14.492000000000001</v>
      </c>
      <c r="G43" s="196"/>
      <c r="H43" s="196"/>
      <c r="I43" s="218"/>
      <c r="J43" s="219"/>
    </row>
    <row r="44" spans="1:10" ht="15.75" x14ac:dyDescent="0.25">
      <c r="A44" s="186"/>
      <c r="B44" s="191"/>
      <c r="C44" s="197">
        <f t="shared" si="3"/>
        <v>37</v>
      </c>
      <c r="D44" s="198">
        <f t="shared" si="2"/>
        <v>98.600000000000009</v>
      </c>
      <c r="E44" s="199">
        <f t="shared" si="4"/>
        <v>13.064</v>
      </c>
      <c r="F44" s="200">
        <f t="shared" si="5"/>
        <v>14.464</v>
      </c>
      <c r="G44" s="196"/>
      <c r="H44" s="196"/>
      <c r="I44" s="218"/>
      <c r="J44" s="219"/>
    </row>
    <row r="45" spans="1:10" ht="15.75" x14ac:dyDescent="0.25">
      <c r="A45" s="186"/>
      <c r="B45" s="191"/>
      <c r="C45" s="201">
        <f t="shared" si="3"/>
        <v>38</v>
      </c>
      <c r="D45" s="202">
        <f t="shared" si="2"/>
        <v>100.4</v>
      </c>
      <c r="E45" s="194">
        <f t="shared" si="4"/>
        <v>13.036</v>
      </c>
      <c r="F45" s="195">
        <f t="shared" si="5"/>
        <v>14.436</v>
      </c>
      <c r="G45" s="196"/>
      <c r="H45" s="196"/>
      <c r="I45" s="218"/>
      <c r="J45" s="219"/>
    </row>
    <row r="46" spans="1:10" ht="15.75" x14ac:dyDescent="0.25">
      <c r="A46" s="186"/>
      <c r="B46" s="191"/>
      <c r="C46" s="197">
        <f t="shared" si="3"/>
        <v>39</v>
      </c>
      <c r="D46" s="198">
        <f t="shared" si="2"/>
        <v>102.2</v>
      </c>
      <c r="E46" s="199">
        <f t="shared" si="4"/>
        <v>13.008000000000001</v>
      </c>
      <c r="F46" s="200">
        <f t="shared" si="5"/>
        <v>14.408000000000001</v>
      </c>
      <c r="G46" s="196"/>
      <c r="H46" s="196"/>
      <c r="I46" s="218"/>
      <c r="J46" s="219"/>
    </row>
    <row r="47" spans="1:10" ht="15.75" x14ac:dyDescent="0.25">
      <c r="A47" s="186"/>
      <c r="B47" s="191"/>
      <c r="C47" s="201">
        <f t="shared" si="3"/>
        <v>40</v>
      </c>
      <c r="D47" s="202">
        <f t="shared" si="2"/>
        <v>104</v>
      </c>
      <c r="E47" s="194">
        <f t="shared" si="4"/>
        <v>12.98</v>
      </c>
      <c r="F47" s="195">
        <f t="shared" si="5"/>
        <v>14.38</v>
      </c>
      <c r="G47" s="196"/>
      <c r="H47" s="196"/>
      <c r="I47" s="220"/>
      <c r="J47" s="220"/>
    </row>
    <row r="48" spans="1:10" ht="15.75" x14ac:dyDescent="0.25">
      <c r="A48" s="186"/>
      <c r="B48" s="176"/>
      <c r="C48" s="197">
        <f>C47+1</f>
        <v>41</v>
      </c>
      <c r="D48" s="198">
        <f t="shared" si="2"/>
        <v>105.8</v>
      </c>
      <c r="E48" s="199">
        <f t="shared" si="4"/>
        <v>12.952</v>
      </c>
      <c r="F48" s="200">
        <f t="shared" si="5"/>
        <v>14.352</v>
      </c>
      <c r="G48" s="180"/>
      <c r="H48" s="196"/>
      <c r="I48" s="196"/>
      <c r="J48" s="196"/>
    </row>
    <row r="49" spans="1:10" ht="15.75" x14ac:dyDescent="0.25">
      <c r="A49" s="186"/>
      <c r="B49" s="176"/>
      <c r="C49" s="201">
        <f>C48+1</f>
        <v>42</v>
      </c>
      <c r="D49" s="202">
        <f t="shared" si="2"/>
        <v>107.60000000000001</v>
      </c>
      <c r="E49" s="194">
        <f t="shared" si="4"/>
        <v>12.923999999999999</v>
      </c>
      <c r="F49" s="195">
        <f t="shared" si="5"/>
        <v>14.324</v>
      </c>
      <c r="G49" s="180"/>
      <c r="H49" s="196"/>
      <c r="I49" s="196"/>
      <c r="J49" s="196"/>
    </row>
    <row r="50" spans="1:10" ht="15.75" x14ac:dyDescent="0.25">
      <c r="A50" s="186"/>
      <c r="B50" s="176"/>
      <c r="C50" s="197">
        <f>C49+1</f>
        <v>43</v>
      </c>
      <c r="D50" s="198">
        <f t="shared" si="2"/>
        <v>109.4</v>
      </c>
      <c r="E50" s="199">
        <f t="shared" si="4"/>
        <v>12.896000000000001</v>
      </c>
      <c r="F50" s="200">
        <f t="shared" si="5"/>
        <v>14.296000000000001</v>
      </c>
      <c r="G50" s="180"/>
      <c r="H50" s="196"/>
      <c r="I50" s="196"/>
      <c r="J50" s="196"/>
    </row>
    <row r="51" spans="1:10" ht="15.75" x14ac:dyDescent="0.25">
      <c r="A51" s="186"/>
      <c r="B51" s="176"/>
      <c r="C51" s="201">
        <f>C50+1</f>
        <v>44</v>
      </c>
      <c r="D51" s="202">
        <f t="shared" si="2"/>
        <v>111.2</v>
      </c>
      <c r="E51" s="194">
        <f t="shared" si="4"/>
        <v>12.868</v>
      </c>
      <c r="F51" s="195">
        <f t="shared" si="5"/>
        <v>14.268000000000001</v>
      </c>
      <c r="G51" s="180"/>
      <c r="H51" s="196"/>
      <c r="I51" s="196"/>
      <c r="J51" s="196"/>
    </row>
    <row r="52" spans="1:10" ht="16.5" thickBot="1" x14ac:dyDescent="0.3">
      <c r="A52" s="186"/>
      <c r="B52" s="176"/>
      <c r="C52" s="221">
        <f>C51+1</f>
        <v>45</v>
      </c>
      <c r="D52" s="222">
        <f t="shared" si="2"/>
        <v>113</v>
      </c>
      <c r="E52" s="223">
        <f t="shared" si="4"/>
        <v>12.84</v>
      </c>
      <c r="F52" s="224">
        <f t="shared" si="5"/>
        <v>14.24</v>
      </c>
      <c r="G52" s="180"/>
      <c r="H52" s="196"/>
      <c r="I52" s="196"/>
      <c r="J52" s="196"/>
    </row>
  </sheetData>
  <sheetProtection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RV Load Calc</vt:lpstr>
      <vt:lpstr>Battery Sizing</vt:lpstr>
      <vt:lpstr>Solar array sizing</vt:lpstr>
      <vt:lpstr>Wire Size</vt:lpstr>
      <vt:lpstr>Peukert Formula</vt:lpstr>
      <vt:lpstr>Cost estimate</vt:lpstr>
      <vt:lpstr>Resistor calc</vt:lpstr>
      <vt:lpstr>Temp comp</vt:lpstr>
      <vt:lpstr>'Battery Sizing'!Print_Area</vt:lpstr>
      <vt:lpstr>'RV Load Calc'!Print_Area</vt:lpstr>
      <vt:lpstr>'Solar array sizing'!Print_Area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 Scholten</dc:creator>
  <cp:lastModifiedBy>Gale S</cp:lastModifiedBy>
  <cp:lastPrinted>2012-01-09T00:50:34Z</cp:lastPrinted>
  <dcterms:created xsi:type="dcterms:W3CDTF">2010-12-14T14:57:05Z</dcterms:created>
  <dcterms:modified xsi:type="dcterms:W3CDTF">2012-12-31T21:40:44Z</dcterms:modified>
</cp:coreProperties>
</file>